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DSPR\PSN\LABELLISATION DES SÉRIES STATISTIQUES\STOCK\2025\"/>
    </mc:Choice>
  </mc:AlternateContent>
  <xr:revisionPtr revIDLastSave="0" documentId="13_ncr:1_{A9F89599-C8F4-4142-97E2-8222869D89FD}" xr6:coauthVersionLast="47" xr6:coauthVersionMax="47" xr10:uidLastSave="{00000000-0000-0000-0000-000000000000}"/>
  <bookViews>
    <workbookView xWindow="-110" yWindow="-110" windowWidth="19420" windowHeight="10300" tabRatio="742" xr2:uid="{00000000-000D-0000-FFFF-FFFF00000000}"/>
  </bookViews>
  <sheets>
    <sheet name="Descriptif" sheetId="3" r:id="rId1"/>
    <sheet name="Retraités en paiement" sheetId="2" r:id="rId2"/>
    <sheet name="Âges moyens" sheetId="4" r:id="rId3"/>
    <sheet name="Montants globaux des pensions" sheetId="5" r:id="rId4"/>
    <sheet name="Montants droit direct" sheetId="6" r:id="rId5"/>
    <sheet name="Bénéficiaires d'un droit dérivé" sheetId="8" r:id="rId6"/>
    <sheet name="Montants droit dérivé" sheetId="7" r:id="rId7"/>
    <sheet name="Pensions portées au minimum" sheetId="9" r:id="rId8"/>
    <sheet name="Compléments de pension" sheetId="10" r:id="rId9"/>
    <sheet name="Minimum Vieillesse"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Titles" localSheetId="1">'Retraités en paiement'!$A:$D</definedName>
    <definedName name="_xlnm.Print_Area" localSheetId="1">'Retraités en paiement'!$B$1:$P$48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 i="11" l="1"/>
  <c r="AJ10" i="11"/>
  <c r="AJ11" i="11"/>
  <c r="AJ12" i="11"/>
  <c r="AJ13" i="11"/>
  <c r="AJ14" i="11"/>
  <c r="AJ15" i="11"/>
  <c r="AJ16" i="11"/>
  <c r="AJ17" i="11"/>
  <c r="AJ18" i="11"/>
  <c r="AJ19" i="11"/>
  <c r="AJ20" i="11"/>
  <c r="AC16" i="11"/>
  <c r="AC20" i="11" s="1"/>
  <c r="AC15" i="11"/>
  <c r="AC14" i="11"/>
  <c r="AC13" i="11"/>
  <c r="AC12" i="11"/>
  <c r="AC11" i="11"/>
  <c r="AC10" i="11"/>
  <c r="AC9" i="11"/>
  <c r="AC17" i="11" s="1"/>
  <c r="AC18" i="11"/>
  <c r="AC19" i="11"/>
  <c r="AJ9" i="10"/>
  <c r="AJ10" i="10"/>
  <c r="AJ11" i="10"/>
  <c r="AJ12" i="10"/>
  <c r="AJ13" i="10"/>
  <c r="AJ14" i="10"/>
  <c r="AJ15" i="10"/>
  <c r="AJ16" i="10"/>
  <c r="AJ18" i="10"/>
  <c r="AJ19" i="10"/>
  <c r="AJ20" i="10"/>
  <c r="AJ21" i="10"/>
  <c r="AJ22" i="10"/>
  <c r="AJ23" i="10"/>
  <c r="AJ24" i="10"/>
  <c r="AJ26" i="10"/>
  <c r="AJ27" i="10"/>
  <c r="AJ28" i="10"/>
  <c r="AJ29" i="10"/>
  <c r="AJ30" i="10"/>
  <c r="AJ31" i="10"/>
  <c r="AJ32" i="10"/>
  <c r="AC32" i="10"/>
  <c r="AC24" i="10"/>
  <c r="AC23" i="10"/>
  <c r="AC22" i="10"/>
  <c r="AC21" i="10"/>
  <c r="AC20" i="10"/>
  <c r="AC19" i="10"/>
  <c r="AC18" i="10"/>
  <c r="AC17" i="10"/>
  <c r="AC16" i="10"/>
  <c r="AC15" i="10"/>
  <c r="AC14" i="10"/>
  <c r="AC13" i="10"/>
  <c r="AC29" i="10" s="1"/>
  <c r="AC12" i="10"/>
  <c r="AC11" i="10"/>
  <c r="AC27" i="10" s="1"/>
  <c r="AC10" i="10"/>
  <c r="AC26" i="10" s="1"/>
  <c r="AC9" i="10"/>
  <c r="AC25" i="10" s="1"/>
  <c r="AC28" i="10"/>
  <c r="AC30" i="10"/>
  <c r="AC31" i="10"/>
  <c r="AJ17" i="9"/>
  <c r="AI17" i="9"/>
  <c r="AH17" i="9"/>
  <c r="AG17" i="9"/>
  <c r="AJ14" i="9"/>
  <c r="AI14" i="9"/>
  <c r="AH14" i="9"/>
  <c r="AG14" i="9"/>
  <c r="AG11" i="9"/>
  <c r="AH11" i="9"/>
  <c r="AI11" i="9"/>
  <c r="AJ11" i="9"/>
  <c r="AJ9" i="9"/>
  <c r="AJ10" i="9"/>
  <c r="AJ12" i="9"/>
  <c r="AJ13" i="9"/>
  <c r="AJ15" i="9"/>
  <c r="AJ16" i="9"/>
  <c r="AC13" i="9"/>
  <c r="AC10" i="9"/>
  <c r="AB13" i="9"/>
  <c r="AB10" i="9"/>
  <c r="AC16" i="9"/>
  <c r="AJ9" i="7"/>
  <c r="AJ10" i="7"/>
  <c r="AJ11" i="7"/>
  <c r="AJ12" i="7"/>
  <c r="AJ13" i="7"/>
  <c r="AJ14" i="7"/>
  <c r="AJ15" i="7"/>
  <c r="AJ16" i="7"/>
  <c r="AJ17" i="7"/>
  <c r="AC17" i="7"/>
  <c r="AC16" i="7"/>
  <c r="AC15" i="7"/>
  <c r="AC14" i="7"/>
  <c r="AC13" i="7"/>
  <c r="AC12" i="7"/>
  <c r="AC11" i="7"/>
  <c r="AC10" i="7"/>
  <c r="AC9" i="7"/>
  <c r="AC12" i="9"/>
  <c r="AC9" i="9"/>
  <c r="AC11" i="9"/>
  <c r="AC14" i="9"/>
  <c r="AC15" i="9"/>
  <c r="AC14" i="8"/>
  <c r="AC13" i="8"/>
  <c r="AJ13" i="8" s="1"/>
  <c r="AC10" i="8"/>
  <c r="AC9" i="8"/>
  <c r="AC11" i="8" s="1"/>
  <c r="AJ9" i="8"/>
  <c r="AJ10" i="8"/>
  <c r="AJ14" i="8"/>
  <c r="AC17" i="8"/>
  <c r="AJ17" i="8" s="1"/>
  <c r="AC18" i="8"/>
  <c r="AJ18" i="8" s="1"/>
  <c r="AC15" i="8"/>
  <c r="AJ15" i="8" s="1"/>
  <c r="AJ9" i="6"/>
  <c r="AJ10" i="6"/>
  <c r="AJ11" i="6"/>
  <c r="AJ12" i="6"/>
  <c r="AJ13" i="6"/>
  <c r="AJ14" i="6"/>
  <c r="AC14" i="6"/>
  <c r="AC13" i="6"/>
  <c r="AC12" i="6"/>
  <c r="AC11" i="6"/>
  <c r="AC10" i="6"/>
  <c r="AC9" i="6"/>
  <c r="AJ9" i="5"/>
  <c r="AJ10" i="5"/>
  <c r="AJ11" i="5"/>
  <c r="AJ12" i="5"/>
  <c r="AJ13" i="5"/>
  <c r="AJ14" i="5"/>
  <c r="AJ15" i="5"/>
  <c r="AJ16" i="5"/>
  <c r="AJ17" i="5"/>
  <c r="AJ18" i="5"/>
  <c r="AJ19" i="5"/>
  <c r="AJ20" i="5"/>
  <c r="AC9" i="5"/>
  <c r="AB10" i="5"/>
  <c r="AB9" i="5"/>
  <c r="AC20" i="5"/>
  <c r="AC19" i="5"/>
  <c r="AC18" i="5"/>
  <c r="AC17" i="5"/>
  <c r="AC16" i="5"/>
  <c r="AC15" i="5"/>
  <c r="AC14" i="5"/>
  <c r="AC13" i="5"/>
  <c r="AC12" i="5"/>
  <c r="AC11" i="5"/>
  <c r="AC10" i="5"/>
  <c r="AH9" i="4"/>
  <c r="AH10" i="4"/>
  <c r="AH11" i="4"/>
  <c r="AA11" i="4"/>
  <c r="AA10" i="4"/>
  <c r="AA9" i="4"/>
  <c r="AI17" i="2"/>
  <c r="AJ17" i="2"/>
  <c r="AJ9" i="2"/>
  <c r="AJ10" i="2"/>
  <c r="AJ11" i="2"/>
  <c r="AJ12" i="2"/>
  <c r="AJ13" i="2"/>
  <c r="AJ14" i="2"/>
  <c r="AJ15" i="2"/>
  <c r="AJ18" i="2"/>
  <c r="AJ19" i="2"/>
  <c r="AJ20" i="2"/>
  <c r="AJ22" i="2"/>
  <c r="AJ23" i="2"/>
  <c r="AJ24" i="2"/>
  <c r="AJ25" i="2"/>
  <c r="AJ26" i="2"/>
  <c r="AJ27" i="2"/>
  <c r="AJ28" i="2"/>
  <c r="AJ30" i="2"/>
  <c r="AJ31" i="2"/>
  <c r="AJ32" i="2"/>
  <c r="AJ33" i="2"/>
  <c r="AJ35" i="2"/>
  <c r="AJ36" i="2"/>
  <c r="AJ37" i="2"/>
  <c r="AJ38" i="2"/>
  <c r="AJ39" i="2"/>
  <c r="AJ40" i="2"/>
  <c r="AJ41" i="2"/>
  <c r="AJ43" i="2"/>
  <c r="AJ44" i="2"/>
  <c r="AJ45" i="2"/>
  <c r="AJ46" i="2"/>
  <c r="AC33" i="2"/>
  <c r="AC46" i="2" s="1"/>
  <c r="AC32" i="2"/>
  <c r="AC31" i="2"/>
  <c r="AC30" i="2"/>
  <c r="AC27" i="2"/>
  <c r="AC25" i="2"/>
  <c r="AC24" i="2"/>
  <c r="AC23" i="2"/>
  <c r="AC22" i="2"/>
  <c r="AC28" i="2" s="1"/>
  <c r="AC20" i="2"/>
  <c r="AC19" i="2"/>
  <c r="AC45" i="2" s="1"/>
  <c r="AC18" i="2"/>
  <c r="AC17" i="2"/>
  <c r="AC14" i="2"/>
  <c r="AC15" i="2" s="1"/>
  <c r="AC41" i="2" s="1"/>
  <c r="AC12" i="2"/>
  <c r="AC38" i="2" s="1"/>
  <c r="AC11" i="2"/>
  <c r="AC10" i="2"/>
  <c r="AC36" i="2" s="1"/>
  <c r="AC9" i="2"/>
  <c r="AC13" i="2"/>
  <c r="AC39" i="2" s="1"/>
  <c r="AC43" i="2"/>
  <c r="AC37" i="2"/>
  <c r="AC26" i="2"/>
  <c r="AC35" i="2"/>
  <c r="AC44" i="2"/>
  <c r="AB16" i="11"/>
  <c r="AB20" i="11" s="1"/>
  <c r="AB15" i="11"/>
  <c r="AB14" i="11"/>
  <c r="AB13" i="11"/>
  <c r="AB12" i="11"/>
  <c r="AB11" i="11"/>
  <c r="AB10" i="11"/>
  <c r="AB9" i="11"/>
  <c r="AB9" i="10"/>
  <c r="AB32" i="10"/>
  <c r="AB29" i="10"/>
  <c r="AB24" i="10"/>
  <c r="AB23" i="10"/>
  <c r="AB22" i="10"/>
  <c r="AB21" i="10"/>
  <c r="AB20" i="10"/>
  <c r="AB19" i="10"/>
  <c r="AB18" i="10"/>
  <c r="AB17" i="10"/>
  <c r="AB25" i="10" s="1"/>
  <c r="AB16" i="10"/>
  <c r="AB15" i="10"/>
  <c r="AB31" i="10" s="1"/>
  <c r="AB14" i="10"/>
  <c r="AB30" i="10" s="1"/>
  <c r="AB13" i="10"/>
  <c r="AB12" i="10"/>
  <c r="AB28" i="10" s="1"/>
  <c r="AC17" i="9" l="1"/>
  <c r="AJ11" i="8"/>
  <c r="AC19" i="8"/>
  <c r="AJ19" i="8" s="1"/>
  <c r="AC40" i="2"/>
  <c r="Z11" i="4" l="1"/>
  <c r="Z10" i="4"/>
  <c r="Z9" i="4"/>
  <c r="AB11" i="10"/>
  <c r="AB27" i="10" s="1"/>
  <c r="AB10" i="10"/>
  <c r="AB26" i="10" s="1"/>
  <c r="AB33" i="2"/>
  <c r="AB20" i="2"/>
  <c r="AB32" i="2"/>
  <c r="AB19" i="2"/>
  <c r="AB31" i="2"/>
  <c r="AB18" i="2"/>
  <c r="AB30" i="2"/>
  <c r="AB17" i="2"/>
  <c r="AB25" i="2"/>
  <c r="AB12" i="2"/>
  <c r="AB24" i="2"/>
  <c r="AB11" i="2"/>
  <c r="AB23" i="2"/>
  <c r="AB10" i="2"/>
  <c r="AB9" i="8" l="1"/>
  <c r="AI9" i="8" s="1"/>
  <c r="AB14" i="2"/>
  <c r="AB27" i="2"/>
  <c r="AB13" i="8"/>
  <c r="AI13" i="8" s="1"/>
  <c r="AB9" i="2" l="1"/>
  <c r="AB14" i="8" l="1"/>
  <c r="AI14" i="8" s="1"/>
  <c r="AB10" i="8"/>
  <c r="AI10" i="8" s="1"/>
  <c r="AB22" i="2"/>
  <c r="AI16" i="11" l="1"/>
  <c r="AI15" i="11"/>
  <c r="AI14" i="11"/>
  <c r="AI13" i="11"/>
  <c r="AI12" i="11"/>
  <c r="AI11" i="11"/>
  <c r="AI10" i="11"/>
  <c r="AI9" i="11"/>
  <c r="AB18" i="11" l="1"/>
  <c r="AI18" i="11" s="1"/>
  <c r="AB17" i="11"/>
  <c r="AI17" i="11" s="1"/>
  <c r="AI20" i="11"/>
  <c r="AB19" i="11"/>
  <c r="AI19" i="11" s="1"/>
  <c r="AI9" i="10" l="1"/>
  <c r="AI10" i="10"/>
  <c r="AI11" i="10"/>
  <c r="AI12" i="10"/>
  <c r="AI13" i="10"/>
  <c r="AI14" i="10"/>
  <c r="AI15" i="10"/>
  <c r="AI16" i="10"/>
  <c r="AI18" i="10"/>
  <c r="AI19" i="10"/>
  <c r="AI20" i="10"/>
  <c r="AI21" i="10"/>
  <c r="AI22" i="10"/>
  <c r="AI23" i="10"/>
  <c r="AI24" i="10"/>
  <c r="AI26" i="10"/>
  <c r="AI27" i="10"/>
  <c r="AI28" i="10"/>
  <c r="AI29" i="10"/>
  <c r="AI30" i="10"/>
  <c r="AI31" i="10"/>
  <c r="AI32" i="10"/>
  <c r="AB12" i="9"/>
  <c r="AB9" i="9"/>
  <c r="AB11" i="9" s="1"/>
  <c r="AB16" i="9"/>
  <c r="AI10" i="9"/>
  <c r="AI13" i="9"/>
  <c r="AB17" i="7"/>
  <c r="AB16" i="7"/>
  <c r="AB15" i="7"/>
  <c r="AB14" i="7"/>
  <c r="AB13" i="7"/>
  <c r="AB12" i="7"/>
  <c r="AB11" i="7"/>
  <c r="AB10" i="7"/>
  <c r="AB9" i="7"/>
  <c r="AB15" i="9" l="1"/>
  <c r="AB14" i="9"/>
  <c r="AB17" i="9" l="1"/>
  <c r="AB14" i="6" l="1"/>
  <c r="AI14" i="6" s="1"/>
  <c r="AB13" i="6"/>
  <c r="AI13" i="6" s="1"/>
  <c r="AB12" i="6"/>
  <c r="AI12" i="6" s="1"/>
  <c r="AB11" i="6"/>
  <c r="AI11" i="6" s="1"/>
  <c r="AB10" i="6"/>
  <c r="AI10" i="6" s="1"/>
  <c r="AB9" i="6"/>
  <c r="AI9" i="6" s="1"/>
  <c r="AB20" i="5"/>
  <c r="AB19" i="5"/>
  <c r="AB18" i="5"/>
  <c r="AB17" i="5"/>
  <c r="AB16" i="5"/>
  <c r="AB15" i="5"/>
  <c r="AB14" i="5"/>
  <c r="AB13" i="5"/>
  <c r="AB12" i="5"/>
  <c r="AB11" i="5"/>
  <c r="AI33" i="2"/>
  <c r="AI32" i="2"/>
  <c r="AI31" i="2"/>
  <c r="AI30" i="2"/>
  <c r="AI22" i="2"/>
  <c r="AG11" i="4"/>
  <c r="AG10" i="4"/>
  <c r="AG9" i="4"/>
  <c r="AI27" i="2"/>
  <c r="AI25" i="2"/>
  <c r="AI24" i="2"/>
  <c r="AI20" i="2"/>
  <c r="AI19" i="2"/>
  <c r="AI18" i="2"/>
  <c r="AI14" i="2"/>
  <c r="AI12" i="2"/>
  <c r="AI11" i="2"/>
  <c r="AI10" i="2"/>
  <c r="AB38" i="2"/>
  <c r="AI38" i="2" s="1"/>
  <c r="AB26" i="2" l="1"/>
  <c r="AI26" i="2" s="1"/>
  <c r="AB15" i="8"/>
  <c r="AI15" i="8" s="1"/>
  <c r="AB18" i="8"/>
  <c r="AB15" i="2"/>
  <c r="AI15" i="2" s="1"/>
  <c r="AI23" i="2"/>
  <c r="AB17" i="8"/>
  <c r="AB37" i="2"/>
  <c r="AI37" i="2" s="1"/>
  <c r="AB11" i="8"/>
  <c r="AI11" i="8" s="1"/>
  <c r="AB45" i="2"/>
  <c r="AI45" i="2" s="1"/>
  <c r="AB44" i="2"/>
  <c r="AI44" i="2" s="1"/>
  <c r="AB43" i="2"/>
  <c r="AI43" i="2" s="1"/>
  <c r="AI9" i="2"/>
  <c r="AB40" i="2"/>
  <c r="AI40" i="2" s="1"/>
  <c r="AB46" i="2"/>
  <c r="AI46" i="2" s="1"/>
  <c r="AB13" i="2"/>
  <c r="AI13" i="2" s="1"/>
  <c r="AB36" i="2"/>
  <c r="AI36" i="2" s="1"/>
  <c r="AB28" i="2"/>
  <c r="AI28" i="2" s="1"/>
  <c r="AB19" i="8" l="1"/>
  <c r="AB39" i="2"/>
  <c r="AI39" i="2" s="1"/>
  <c r="AB35" i="2"/>
  <c r="AI35" i="2" s="1"/>
  <c r="AB41" i="2"/>
  <c r="AI41" i="2" s="1"/>
  <c r="AI16" i="5" l="1"/>
  <c r="AI15" i="5"/>
  <c r="AI14" i="5"/>
  <c r="AI13" i="5"/>
  <c r="AI12" i="5"/>
  <c r="AI11" i="5"/>
  <c r="AI10" i="5"/>
  <c r="AI9" i="5"/>
  <c r="AI20" i="5"/>
  <c r="AI19" i="5"/>
  <c r="AI18" i="5"/>
  <c r="AI17" i="5"/>
  <c r="Z10" i="11" l="1"/>
  <c r="AH10" i="11" s="1"/>
  <c r="AA17" i="7"/>
  <c r="AI17" i="7" s="1"/>
  <c r="AA14" i="7"/>
  <c r="AI14" i="7" s="1"/>
  <c r="AA11" i="7"/>
  <c r="AA16" i="7"/>
  <c r="AA13" i="7"/>
  <c r="AA10" i="7"/>
  <c r="AI10" i="7" s="1"/>
  <c r="AA15" i="7"/>
  <c r="AI15" i="7" s="1"/>
  <c r="AA12" i="7"/>
  <c r="AI12" i="7" s="1"/>
  <c r="AA9" i="7"/>
  <c r="AI9" i="7" s="1"/>
  <c r="Z17" i="7"/>
  <c r="Z16" i="7"/>
  <c r="Z15" i="7"/>
  <c r="AG15" i="7" s="1"/>
  <c r="Z14" i="7"/>
  <c r="Z13" i="7"/>
  <c r="Z12" i="7"/>
  <c r="AG12" i="7" s="1"/>
  <c r="Z11" i="7"/>
  <c r="Z10" i="7"/>
  <c r="Z9" i="7"/>
  <c r="AG9" i="7" s="1"/>
  <c r="Z10" i="10"/>
  <c r="AG10" i="10" s="1"/>
  <c r="Z17" i="10"/>
  <c r="Z9" i="10"/>
  <c r="AG9" i="10" s="1"/>
  <c r="AI12" i="9"/>
  <c r="AI9" i="9"/>
  <c r="AG13" i="9"/>
  <c r="AG9" i="9"/>
  <c r="AH14" i="8"/>
  <c r="AG10" i="8"/>
  <c r="AH9" i="6"/>
  <c r="AH10" i="6"/>
  <c r="AH11" i="6"/>
  <c r="AH12" i="6"/>
  <c r="AH13" i="6"/>
  <c r="AH14" i="6"/>
  <c r="AH9" i="5"/>
  <c r="AH10" i="5"/>
  <c r="AH11" i="5"/>
  <c r="AH12" i="5"/>
  <c r="AH13" i="5"/>
  <c r="AH14" i="5"/>
  <c r="AH15" i="5"/>
  <c r="AH16" i="5"/>
  <c r="AH17" i="5"/>
  <c r="AH18" i="5"/>
  <c r="AH19" i="5"/>
  <c r="AH20" i="5"/>
  <c r="AH33" i="2"/>
  <c r="AH32" i="2"/>
  <c r="AH31" i="2"/>
  <c r="AH30" i="2"/>
  <c r="AH27" i="2"/>
  <c r="AH25" i="2"/>
  <c r="AH24" i="2"/>
  <c r="AH23" i="2"/>
  <c r="AH46" i="2"/>
  <c r="AH19" i="2"/>
  <c r="AH44" i="2"/>
  <c r="AH43" i="2"/>
  <c r="AH40" i="2"/>
  <c r="AH12" i="2"/>
  <c r="AH10" i="2"/>
  <c r="AG25" i="2"/>
  <c r="AG18" i="2"/>
  <c r="AG40" i="2"/>
  <c r="AG11" i="2"/>
  <c r="AG17" i="2"/>
  <c r="Z30" i="10"/>
  <c r="AG30" i="10" s="1"/>
  <c r="Z29" i="10"/>
  <c r="AH29" i="10" s="1"/>
  <c r="Z22" i="10"/>
  <c r="AG22" i="10" s="1"/>
  <c r="Z21" i="10"/>
  <c r="AG21" i="10" s="1"/>
  <c r="Z14" i="10"/>
  <c r="AG14" i="10" s="1"/>
  <c r="Z16" i="11"/>
  <c r="AG16" i="11" s="1"/>
  <c r="Z12" i="11"/>
  <c r="AG12" i="11" s="1"/>
  <c r="Z15" i="11"/>
  <c r="AG15" i="11" s="1"/>
  <c r="Z14" i="11"/>
  <c r="AG14" i="11" s="1"/>
  <c r="Z13" i="11"/>
  <c r="AG13" i="11" s="1"/>
  <c r="Z11" i="11"/>
  <c r="AG11" i="11" s="1"/>
  <c r="Z9" i="11"/>
  <c r="AG9" i="11" s="1"/>
  <c r="Z32" i="10"/>
  <c r="AG32" i="10" s="1"/>
  <c r="Z31" i="10"/>
  <c r="AG31" i="10" s="1"/>
  <c r="Z28" i="10"/>
  <c r="AG28" i="10" s="1"/>
  <c r="Z27" i="10"/>
  <c r="AG27" i="10" s="1"/>
  <c r="Z26" i="10"/>
  <c r="AG26" i="10" s="1"/>
  <c r="Z25" i="10"/>
  <c r="Z24" i="10"/>
  <c r="AG24" i="10" s="1"/>
  <c r="Z23" i="10"/>
  <c r="AG23" i="10" s="1"/>
  <c r="Z20" i="10"/>
  <c r="AG20" i="10" s="1"/>
  <c r="Z19" i="10"/>
  <c r="AG19" i="10" s="1"/>
  <c r="Z18" i="10"/>
  <c r="AG18" i="10" s="1"/>
  <c r="Z16" i="10"/>
  <c r="AG16" i="10" s="1"/>
  <c r="Z15" i="10"/>
  <c r="AG15" i="10" s="1"/>
  <c r="Z13" i="10"/>
  <c r="AG13" i="10" s="1"/>
  <c r="Z12" i="10"/>
  <c r="AG12" i="10" s="1"/>
  <c r="Z11" i="10"/>
  <c r="AG11" i="10" s="1"/>
  <c r="AF16" i="9"/>
  <c r="AG14" i="8"/>
  <c r="AG13" i="8"/>
  <c r="AG10" i="6"/>
  <c r="AG14" i="6"/>
  <c r="AG12" i="6"/>
  <c r="AG13" i="6"/>
  <c r="AG11" i="6"/>
  <c r="AG9" i="6"/>
  <c r="AG20" i="5"/>
  <c r="AG19" i="5"/>
  <c r="AG17" i="5"/>
  <c r="AG16" i="5"/>
  <c r="AG15" i="5"/>
  <c r="AG13" i="5"/>
  <c r="AG12" i="5"/>
  <c r="AG11" i="5"/>
  <c r="AG9" i="5"/>
  <c r="Y10" i="5"/>
  <c r="AG10" i="5" s="1"/>
  <c r="Y14" i="5"/>
  <c r="AG14" i="5" s="1"/>
  <c r="Y18" i="5"/>
  <c r="AG18" i="5" s="1"/>
  <c r="AE11" i="4"/>
  <c r="AE10" i="4"/>
  <c r="AG33" i="2"/>
  <c r="AG31" i="2"/>
  <c r="AG30" i="2"/>
  <c r="AG27" i="2"/>
  <c r="AG24" i="2"/>
  <c r="AG23" i="2"/>
  <c r="AG19" i="2"/>
  <c r="AG38" i="2"/>
  <c r="C12" i="9"/>
  <c r="C15" i="9" s="1"/>
  <c r="AF17" i="5"/>
  <c r="AF16" i="5"/>
  <c r="AF15" i="5"/>
  <c r="AF9" i="5"/>
  <c r="AE9" i="6"/>
  <c r="AF9" i="6"/>
  <c r="Y17" i="7"/>
  <c r="AF17" i="7" s="1"/>
  <c r="Y16" i="7"/>
  <c r="AF16" i="7" s="1"/>
  <c r="Y14" i="7"/>
  <c r="AF14" i="7" s="1"/>
  <c r="Y13" i="7"/>
  <c r="AF13" i="7" s="1"/>
  <c r="Y11" i="7"/>
  <c r="AF11" i="7" s="1"/>
  <c r="Y10" i="7"/>
  <c r="AF10" i="7" s="1"/>
  <c r="U15" i="9"/>
  <c r="AE13" i="9"/>
  <c r="AF13" i="9"/>
  <c r="AE16" i="9"/>
  <c r="AC11" i="4"/>
  <c r="AC10" i="4"/>
  <c r="AE10" i="11"/>
  <c r="AF10" i="11"/>
  <c r="AE11" i="11"/>
  <c r="AF11" i="11"/>
  <c r="AE12" i="11"/>
  <c r="AF12" i="11"/>
  <c r="AE13" i="11"/>
  <c r="AF13" i="11"/>
  <c r="AE14" i="11"/>
  <c r="AF14" i="11"/>
  <c r="AE15" i="11"/>
  <c r="AF15" i="11"/>
  <c r="AE16" i="11"/>
  <c r="AF16" i="11"/>
  <c r="AE17" i="11"/>
  <c r="AF17" i="11"/>
  <c r="AE18" i="11"/>
  <c r="AF18" i="11"/>
  <c r="AE19" i="11"/>
  <c r="AF19" i="11"/>
  <c r="AE20" i="11"/>
  <c r="AF20" i="11"/>
  <c r="AF9" i="11"/>
  <c r="AE9" i="11"/>
  <c r="AE11" i="10"/>
  <c r="AF11" i="10"/>
  <c r="AE12" i="10"/>
  <c r="AF12" i="10"/>
  <c r="AE13" i="10"/>
  <c r="AF13" i="10"/>
  <c r="AE14" i="10"/>
  <c r="AF14" i="10"/>
  <c r="AE15" i="10"/>
  <c r="AF15" i="10"/>
  <c r="AE16" i="10"/>
  <c r="AF16" i="10"/>
  <c r="AE18" i="10"/>
  <c r="AF18" i="10"/>
  <c r="AE19" i="10"/>
  <c r="AF19" i="10"/>
  <c r="AE20" i="10"/>
  <c r="AF20" i="10"/>
  <c r="AE21" i="10"/>
  <c r="AF21" i="10"/>
  <c r="AE22" i="10"/>
  <c r="AF22" i="10"/>
  <c r="AE23" i="10"/>
  <c r="AF23" i="10"/>
  <c r="AE24" i="10"/>
  <c r="AF24" i="10"/>
  <c r="AE26" i="10"/>
  <c r="AF26" i="10"/>
  <c r="AE27" i="10"/>
  <c r="AF27" i="10"/>
  <c r="AE28" i="10"/>
  <c r="AF28" i="10"/>
  <c r="AE29" i="10"/>
  <c r="AF29" i="10"/>
  <c r="AE30" i="10"/>
  <c r="AF30" i="10"/>
  <c r="AE31" i="10"/>
  <c r="AF31" i="10"/>
  <c r="AE32" i="10"/>
  <c r="AF32" i="10"/>
  <c r="AF10" i="10"/>
  <c r="AE10" i="10"/>
  <c r="AF10" i="9"/>
  <c r="AE10" i="9"/>
  <c r="AE10" i="7"/>
  <c r="AE11" i="7"/>
  <c r="AE12" i="7"/>
  <c r="AE13" i="7"/>
  <c r="AE14" i="7"/>
  <c r="AE15" i="7"/>
  <c r="AE16" i="7"/>
  <c r="AE17" i="7"/>
  <c r="AE9" i="7"/>
  <c r="AE10" i="8"/>
  <c r="AF10" i="8"/>
  <c r="AE11" i="8"/>
  <c r="AF11" i="8"/>
  <c r="AE13" i="8"/>
  <c r="AF13" i="8"/>
  <c r="AE14" i="8"/>
  <c r="AF14" i="8"/>
  <c r="AE15" i="8"/>
  <c r="AF15" i="8"/>
  <c r="AE17" i="8"/>
  <c r="AF17" i="8"/>
  <c r="AE18" i="8"/>
  <c r="AF18" i="8"/>
  <c r="AE19" i="8"/>
  <c r="AF19" i="8"/>
  <c r="AF9" i="8"/>
  <c r="AE9" i="8"/>
  <c r="AE11" i="5"/>
  <c r="AE12" i="5"/>
  <c r="AE13" i="5"/>
  <c r="AE15" i="5"/>
  <c r="AE16" i="5"/>
  <c r="AE17" i="5"/>
  <c r="AE19" i="5"/>
  <c r="AE20" i="5"/>
  <c r="AE9" i="5"/>
  <c r="AE11" i="6"/>
  <c r="AF11" i="6"/>
  <c r="AE13" i="6"/>
  <c r="AF13" i="6"/>
  <c r="AD9" i="4"/>
  <c r="AE18" i="2"/>
  <c r="AE20" i="2"/>
  <c r="AE27" i="2"/>
  <c r="AE44" i="2"/>
  <c r="P9" i="2"/>
  <c r="P15" i="2" s="1"/>
  <c r="Q9" i="2"/>
  <c r="R9" i="2"/>
  <c r="S9" i="2"/>
  <c r="T9" i="2"/>
  <c r="T15" i="2" s="1"/>
  <c r="AE9" i="2"/>
  <c r="AF9" i="2"/>
  <c r="Q10" i="2"/>
  <c r="R10" i="2"/>
  <c r="S10" i="2"/>
  <c r="T10" i="2"/>
  <c r="E11" i="2"/>
  <c r="Q11" i="2"/>
  <c r="R11" i="2"/>
  <c r="S11" i="2"/>
  <c r="T11" i="2"/>
  <c r="Q14" i="2"/>
  <c r="R14" i="2"/>
  <c r="S14" i="2"/>
  <c r="S40" i="2" s="1"/>
  <c r="T14" i="2"/>
  <c r="AE14" i="2"/>
  <c r="AE15" i="2"/>
  <c r="AF14" i="2"/>
  <c r="E15" i="2"/>
  <c r="F15" i="2"/>
  <c r="G15" i="2"/>
  <c r="H15" i="2"/>
  <c r="I15" i="2"/>
  <c r="J15" i="2"/>
  <c r="K15" i="2"/>
  <c r="L15" i="2"/>
  <c r="M15" i="2"/>
  <c r="N15" i="2"/>
  <c r="O15" i="2"/>
  <c r="AE17" i="2"/>
  <c r="AF17" i="2"/>
  <c r="U18" i="2"/>
  <c r="AF18" i="2"/>
  <c r="AE19" i="2"/>
  <c r="AF19" i="2"/>
  <c r="AF20" i="2"/>
  <c r="AE22" i="2"/>
  <c r="AF22" i="2"/>
  <c r="Q23" i="2"/>
  <c r="R23" i="2"/>
  <c r="S23" i="2"/>
  <c r="T23" i="2"/>
  <c r="E24" i="2"/>
  <c r="E37" i="2" s="1"/>
  <c r="Q24" i="2"/>
  <c r="R24" i="2"/>
  <c r="S24" i="2"/>
  <c r="S37" i="2" s="1"/>
  <c r="T24" i="2"/>
  <c r="Q25" i="2"/>
  <c r="Q38" i="2" s="1"/>
  <c r="R25" i="2"/>
  <c r="R38" i="2" s="1"/>
  <c r="S25" i="2"/>
  <c r="S38" i="2"/>
  <c r="T25" i="2"/>
  <c r="F26" i="2"/>
  <c r="G26" i="2"/>
  <c r="H26" i="2"/>
  <c r="I26" i="2"/>
  <c r="J26" i="2"/>
  <c r="K26" i="2"/>
  <c r="L26" i="2"/>
  <c r="M26" i="2"/>
  <c r="N26" i="2"/>
  <c r="O26" i="2"/>
  <c r="P26" i="2"/>
  <c r="Q27" i="2"/>
  <c r="R27" i="2"/>
  <c r="S27" i="2"/>
  <c r="T27" i="2"/>
  <c r="AE40" i="2"/>
  <c r="AF27" i="2"/>
  <c r="E28" i="2"/>
  <c r="F28" i="2"/>
  <c r="G28" i="2"/>
  <c r="H28" i="2"/>
  <c r="I28" i="2"/>
  <c r="J28" i="2"/>
  <c r="K28" i="2"/>
  <c r="L28" i="2"/>
  <c r="M28" i="2"/>
  <c r="N28" i="2"/>
  <c r="O28" i="2"/>
  <c r="P28" i="2"/>
  <c r="U28" i="2"/>
  <c r="AE28" i="2"/>
  <c r="AF28" i="2"/>
  <c r="U30" i="2"/>
  <c r="U43" i="2" s="1"/>
  <c r="AE30" i="2"/>
  <c r="AF30" i="2"/>
  <c r="U31" i="2"/>
  <c r="AE31" i="2"/>
  <c r="AF31" i="2"/>
  <c r="U32" i="2"/>
  <c r="U45" i="2" s="1"/>
  <c r="AE45" i="2"/>
  <c r="AF32" i="2"/>
  <c r="U33" i="2"/>
  <c r="U46" i="2" s="1"/>
  <c r="AF33" i="2"/>
  <c r="E35" i="2"/>
  <c r="F35" i="2"/>
  <c r="G35" i="2"/>
  <c r="H35" i="2"/>
  <c r="I35" i="2"/>
  <c r="J35" i="2"/>
  <c r="K35" i="2"/>
  <c r="L35" i="2"/>
  <c r="M35" i="2"/>
  <c r="N35" i="2"/>
  <c r="O35" i="2"/>
  <c r="U35" i="2"/>
  <c r="AE41" i="2"/>
  <c r="E36" i="2"/>
  <c r="F36" i="2"/>
  <c r="G36" i="2"/>
  <c r="H36" i="2"/>
  <c r="I36" i="2"/>
  <c r="J36" i="2"/>
  <c r="K36" i="2"/>
  <c r="L36" i="2"/>
  <c r="M36" i="2"/>
  <c r="N36" i="2"/>
  <c r="O36" i="2"/>
  <c r="P36" i="2"/>
  <c r="U36" i="2"/>
  <c r="F37" i="2"/>
  <c r="G37" i="2"/>
  <c r="H37" i="2"/>
  <c r="I37" i="2"/>
  <c r="J37" i="2"/>
  <c r="K37" i="2"/>
  <c r="L37" i="2"/>
  <c r="M37" i="2"/>
  <c r="N37" i="2"/>
  <c r="O37" i="2"/>
  <c r="P37" i="2"/>
  <c r="U37" i="2"/>
  <c r="E38" i="2"/>
  <c r="F38" i="2"/>
  <c r="G38" i="2"/>
  <c r="H38" i="2"/>
  <c r="I38" i="2"/>
  <c r="J38" i="2"/>
  <c r="K38" i="2"/>
  <c r="L38" i="2"/>
  <c r="M38" i="2"/>
  <c r="N38" i="2"/>
  <c r="O38" i="2"/>
  <c r="P38" i="2"/>
  <c r="U38" i="2"/>
  <c r="E40" i="2"/>
  <c r="F40" i="2"/>
  <c r="G40" i="2"/>
  <c r="H40" i="2"/>
  <c r="I40" i="2"/>
  <c r="J40" i="2"/>
  <c r="K40" i="2"/>
  <c r="K41" i="2" s="1"/>
  <c r="L40" i="2"/>
  <c r="M40" i="2"/>
  <c r="N40" i="2"/>
  <c r="O40" i="2"/>
  <c r="P40" i="2"/>
  <c r="U40" i="2"/>
  <c r="AF40" i="2"/>
  <c r="F43" i="2"/>
  <c r="G43" i="2"/>
  <c r="H43" i="2"/>
  <c r="I43" i="2"/>
  <c r="J43" i="2"/>
  <c r="K43" i="2"/>
  <c r="L43" i="2"/>
  <c r="M43" i="2"/>
  <c r="N43" i="2"/>
  <c r="O43" i="2"/>
  <c r="P43" i="2"/>
  <c r="Q43" i="2"/>
  <c r="R43" i="2"/>
  <c r="S43" i="2"/>
  <c r="T43" i="2"/>
  <c r="F44" i="2"/>
  <c r="G44" i="2"/>
  <c r="H44" i="2"/>
  <c r="I44" i="2"/>
  <c r="J44" i="2"/>
  <c r="K44" i="2"/>
  <c r="L44" i="2"/>
  <c r="M44" i="2"/>
  <c r="N44" i="2"/>
  <c r="O44" i="2"/>
  <c r="P44" i="2"/>
  <c r="Q44" i="2"/>
  <c r="R44" i="2"/>
  <c r="S44" i="2"/>
  <c r="T44" i="2"/>
  <c r="M45" i="2"/>
  <c r="N45" i="2"/>
  <c r="O45" i="2"/>
  <c r="P45" i="2"/>
  <c r="Q45" i="2"/>
  <c r="R45" i="2"/>
  <c r="S45" i="2"/>
  <c r="T45" i="2"/>
  <c r="M46" i="2"/>
  <c r="N46" i="2"/>
  <c r="O46" i="2"/>
  <c r="P46" i="2"/>
  <c r="Q46" i="2"/>
  <c r="R46" i="2"/>
  <c r="S46" i="2"/>
  <c r="T46" i="2"/>
  <c r="B5" i="4"/>
  <c r="AC9" i="4"/>
  <c r="AD10" i="4"/>
  <c r="AD11" i="4"/>
  <c r="AF13" i="5"/>
  <c r="AF19" i="5"/>
  <c r="Q9" i="8"/>
  <c r="Q11" i="8" s="1"/>
  <c r="R9" i="8"/>
  <c r="S9" i="8"/>
  <c r="S11" i="8" s="1"/>
  <c r="T9" i="8"/>
  <c r="T11" i="8" s="1"/>
  <c r="U9" i="8"/>
  <c r="U11" i="8" s="1"/>
  <c r="E11" i="8"/>
  <c r="F11" i="8"/>
  <c r="G11" i="8"/>
  <c r="H11" i="8"/>
  <c r="I11" i="8"/>
  <c r="J11" i="8"/>
  <c r="K11" i="8"/>
  <c r="L11" i="8"/>
  <c r="M11" i="8"/>
  <c r="N11" i="8"/>
  <c r="O11" i="8"/>
  <c r="P11" i="8"/>
  <c r="U12" i="8"/>
  <c r="Q13" i="8"/>
  <c r="Q15" i="8" s="1"/>
  <c r="R13" i="8"/>
  <c r="R15" i="8" s="1"/>
  <c r="S13" i="8"/>
  <c r="S15" i="8" s="1"/>
  <c r="T13" i="8"/>
  <c r="T15" i="8" s="1"/>
  <c r="U13" i="8"/>
  <c r="U15" i="8" s="1"/>
  <c r="E15" i="8"/>
  <c r="F15" i="8"/>
  <c r="G15" i="8"/>
  <c r="H15" i="8"/>
  <c r="I15" i="8"/>
  <c r="J15" i="8"/>
  <c r="K15" i="8"/>
  <c r="L15" i="8"/>
  <c r="M15" i="8"/>
  <c r="N15" i="8"/>
  <c r="O15" i="8"/>
  <c r="P15" i="8"/>
  <c r="U16" i="8"/>
  <c r="E17" i="8"/>
  <c r="F17" i="8"/>
  <c r="G17" i="8"/>
  <c r="H17" i="8"/>
  <c r="I17" i="8"/>
  <c r="J17" i="8"/>
  <c r="K17" i="8"/>
  <c r="L17" i="8"/>
  <c r="M17" i="8"/>
  <c r="N17" i="8"/>
  <c r="P17" i="8"/>
  <c r="E18" i="8"/>
  <c r="F18" i="8"/>
  <c r="G18" i="8"/>
  <c r="H18" i="8"/>
  <c r="I18" i="8"/>
  <c r="J18" i="8"/>
  <c r="K18" i="8"/>
  <c r="L18" i="8"/>
  <c r="M18" i="8"/>
  <c r="N18" i="8"/>
  <c r="P18" i="8"/>
  <c r="Q18" i="8"/>
  <c r="R18" i="8"/>
  <c r="S18" i="8"/>
  <c r="T18" i="8"/>
  <c r="U18" i="8"/>
  <c r="O19" i="8"/>
  <c r="L20" i="8"/>
  <c r="M20" i="8"/>
  <c r="N20" i="8"/>
  <c r="P20" i="8"/>
  <c r="Q20" i="8"/>
  <c r="R20" i="8"/>
  <c r="S20" i="8"/>
  <c r="T20" i="8"/>
  <c r="AF9" i="7"/>
  <c r="AF12" i="7"/>
  <c r="AF15" i="7"/>
  <c r="E9" i="9"/>
  <c r="E10" i="9"/>
  <c r="O11" i="9"/>
  <c r="P11" i="9"/>
  <c r="Q11" i="9"/>
  <c r="R11" i="9"/>
  <c r="S11" i="9"/>
  <c r="T11" i="9"/>
  <c r="U11" i="9"/>
  <c r="E12" i="9"/>
  <c r="E13" i="9"/>
  <c r="O14" i="9"/>
  <c r="P14" i="9"/>
  <c r="Q14" i="9"/>
  <c r="R14" i="9"/>
  <c r="S14" i="9"/>
  <c r="T14" i="9"/>
  <c r="U14" i="9"/>
  <c r="O15" i="9"/>
  <c r="P15" i="9"/>
  <c r="Q15" i="9"/>
  <c r="R15" i="9"/>
  <c r="S15" i="9"/>
  <c r="S17" i="9" s="1"/>
  <c r="T15" i="9"/>
  <c r="O16" i="9"/>
  <c r="P16" i="9"/>
  <c r="Q16" i="9"/>
  <c r="R16" i="9"/>
  <c r="S16" i="9"/>
  <c r="T16" i="9"/>
  <c r="T17" i="9" s="1"/>
  <c r="U16" i="9"/>
  <c r="E17" i="9"/>
  <c r="F17" i="9"/>
  <c r="G17" i="9"/>
  <c r="H17" i="9"/>
  <c r="I17" i="9"/>
  <c r="J17" i="9"/>
  <c r="K17" i="9"/>
  <c r="L17" i="9"/>
  <c r="M17" i="9"/>
  <c r="N17" i="9"/>
  <c r="P9" i="10"/>
  <c r="Q9" i="10"/>
  <c r="Q10" i="10"/>
  <c r="R10" i="10"/>
  <c r="R26" i="10" s="1"/>
  <c r="Q11" i="10"/>
  <c r="R11" i="10"/>
  <c r="R27" i="10" s="1"/>
  <c r="Q12" i="10"/>
  <c r="R12" i="10"/>
  <c r="E16" i="10"/>
  <c r="F16" i="10"/>
  <c r="G16" i="10"/>
  <c r="H16" i="10"/>
  <c r="I16" i="10"/>
  <c r="J16" i="10"/>
  <c r="K16" i="10"/>
  <c r="L16" i="10"/>
  <c r="M16" i="10"/>
  <c r="N16" i="10"/>
  <c r="O16" i="10"/>
  <c r="P16" i="10"/>
  <c r="Q16" i="10"/>
  <c r="R16" i="10"/>
  <c r="U16" i="10"/>
  <c r="P17" i="10"/>
  <c r="Q17" i="10"/>
  <c r="Q18" i="10"/>
  <c r="Q19" i="10"/>
  <c r="Q20" i="10"/>
  <c r="R20" i="10"/>
  <c r="E24" i="10"/>
  <c r="F24" i="10"/>
  <c r="G24" i="10"/>
  <c r="H24" i="10"/>
  <c r="I24" i="10"/>
  <c r="J24" i="10"/>
  <c r="K24" i="10"/>
  <c r="L24" i="10"/>
  <c r="M24" i="10"/>
  <c r="N24" i="10"/>
  <c r="O24" i="10"/>
  <c r="P24" i="10"/>
  <c r="Q24" i="10"/>
  <c r="R24" i="10"/>
  <c r="O25" i="10"/>
  <c r="R25" i="10"/>
  <c r="U25" i="10"/>
  <c r="O26" i="10"/>
  <c r="P26" i="10"/>
  <c r="U26" i="10"/>
  <c r="O27" i="10"/>
  <c r="P27" i="10"/>
  <c r="U27" i="10"/>
  <c r="O28" i="10"/>
  <c r="P28" i="10"/>
  <c r="U28" i="10"/>
  <c r="O29" i="10"/>
  <c r="P29" i="10"/>
  <c r="Q29" i="10"/>
  <c r="R29" i="10"/>
  <c r="U29" i="10"/>
  <c r="O30" i="10"/>
  <c r="P30" i="10"/>
  <c r="Q30" i="10"/>
  <c r="R30" i="10"/>
  <c r="U30" i="10"/>
  <c r="O31" i="10"/>
  <c r="P31" i="10"/>
  <c r="Q31" i="10"/>
  <c r="R31" i="10"/>
  <c r="U31" i="10"/>
  <c r="E32" i="10"/>
  <c r="F32" i="10"/>
  <c r="G32" i="10"/>
  <c r="H32" i="10"/>
  <c r="I32" i="10"/>
  <c r="J32" i="10"/>
  <c r="K32" i="10"/>
  <c r="L32" i="10"/>
  <c r="M32" i="10"/>
  <c r="N32" i="10"/>
  <c r="E12" i="11"/>
  <c r="F12" i="11"/>
  <c r="G12" i="11"/>
  <c r="H12" i="11"/>
  <c r="I12" i="11"/>
  <c r="J12" i="11"/>
  <c r="K12" i="11"/>
  <c r="L12" i="11"/>
  <c r="M12" i="11"/>
  <c r="N12" i="11"/>
  <c r="O12" i="11"/>
  <c r="P12" i="11"/>
  <c r="Q12" i="11"/>
  <c r="R12" i="11"/>
  <c r="U12" i="11"/>
  <c r="E16" i="11"/>
  <c r="F16" i="11"/>
  <c r="G16" i="11"/>
  <c r="H16" i="11"/>
  <c r="I16" i="11"/>
  <c r="J16" i="11"/>
  <c r="K16" i="11"/>
  <c r="L16" i="11"/>
  <c r="M16" i="11"/>
  <c r="N16" i="11"/>
  <c r="O16" i="11"/>
  <c r="P16" i="11"/>
  <c r="Q16" i="11"/>
  <c r="R16" i="11"/>
  <c r="U16" i="11"/>
  <c r="Q17" i="11"/>
  <c r="R17" i="11"/>
  <c r="U17" i="11"/>
  <c r="Q18" i="11"/>
  <c r="R18" i="11"/>
  <c r="U18" i="11"/>
  <c r="Q19" i="11"/>
  <c r="R19" i="11"/>
  <c r="U19" i="11"/>
  <c r="E20" i="11"/>
  <c r="F20" i="11"/>
  <c r="G20" i="11"/>
  <c r="H20" i="11"/>
  <c r="I20" i="11"/>
  <c r="J20" i="11"/>
  <c r="K20" i="11"/>
  <c r="L20" i="11"/>
  <c r="M20" i="11"/>
  <c r="N20" i="11"/>
  <c r="O20" i="11"/>
  <c r="P20" i="11"/>
  <c r="AE46" i="2"/>
  <c r="AF46" i="2"/>
  <c r="AF45" i="2"/>
  <c r="AE35" i="2"/>
  <c r="AE32" i="2"/>
  <c r="AE43" i="2"/>
  <c r="AF15" i="2"/>
  <c r="AE33" i="2"/>
  <c r="AF44" i="2"/>
  <c r="AF35" i="2"/>
  <c r="AF41" i="2"/>
  <c r="AF43" i="2"/>
  <c r="AF11" i="5"/>
  <c r="AF12" i="5"/>
  <c r="AF20" i="5"/>
  <c r="AE9" i="4"/>
  <c r="Q20" i="11" l="1"/>
  <c r="U17" i="8"/>
  <c r="U19" i="8" s="1"/>
  <c r="M19" i="8"/>
  <c r="K19" i="8"/>
  <c r="T36" i="2"/>
  <c r="AH13" i="7"/>
  <c r="AI13" i="7"/>
  <c r="AH16" i="7"/>
  <c r="AI16" i="7"/>
  <c r="AH11" i="7"/>
  <c r="AI11" i="7"/>
  <c r="U20" i="11"/>
  <c r="R20" i="11"/>
  <c r="O32" i="10"/>
  <c r="U17" i="9"/>
  <c r="R17" i="9"/>
  <c r="P17" i="9"/>
  <c r="Q17" i="9"/>
  <c r="O17" i="9"/>
  <c r="G19" i="8"/>
  <c r="P19" i="8"/>
  <c r="J19" i="8"/>
  <c r="R17" i="8"/>
  <c r="R19" i="8" s="1"/>
  <c r="N19" i="8"/>
  <c r="F19" i="8"/>
  <c r="E19" i="8"/>
  <c r="AF9" i="4"/>
  <c r="AF10" i="4"/>
  <c r="AF11" i="4"/>
  <c r="J39" i="2"/>
  <c r="G41" i="2"/>
  <c r="O39" i="2"/>
  <c r="E41" i="2"/>
  <c r="Q15" i="2"/>
  <c r="I39" i="2"/>
  <c r="I41" i="2"/>
  <c r="AH37" i="2"/>
  <c r="Q36" i="2"/>
  <c r="Q39" i="2" s="1"/>
  <c r="Q37" i="2"/>
  <c r="H41" i="2"/>
  <c r="G39" i="2"/>
  <c r="Q40" i="2"/>
  <c r="U44" i="2"/>
  <c r="O41" i="2"/>
  <c r="J41" i="2"/>
  <c r="K39" i="2"/>
  <c r="P39" i="2"/>
  <c r="H39" i="2"/>
  <c r="L39" i="2"/>
  <c r="AH20" i="10"/>
  <c r="AH31" i="10"/>
  <c r="AH14" i="7"/>
  <c r="AH9" i="7"/>
  <c r="AH17" i="7"/>
  <c r="AH12" i="7"/>
  <c r="AH15" i="7"/>
  <c r="AH10" i="7"/>
  <c r="AH14" i="10"/>
  <c r="Q26" i="2"/>
  <c r="Q22" i="2" s="1"/>
  <c r="Q28" i="2" s="1"/>
  <c r="Q26" i="10"/>
  <c r="T37" i="2"/>
  <c r="Q17" i="8"/>
  <c r="Q19" i="8" s="1"/>
  <c r="T26" i="2"/>
  <c r="T22" i="2" s="1"/>
  <c r="T35" i="2" s="1"/>
  <c r="R36" i="2"/>
  <c r="R11" i="8"/>
  <c r="S26" i="2"/>
  <c r="S22" i="2" s="1"/>
  <c r="S28" i="2" s="1"/>
  <c r="Q27" i="10"/>
  <c r="S17" i="8"/>
  <c r="S19" i="8" s="1"/>
  <c r="AG13" i="7"/>
  <c r="AH21" i="10"/>
  <c r="AH11" i="11"/>
  <c r="AH13" i="10"/>
  <c r="AH24" i="10"/>
  <c r="AH12" i="11"/>
  <c r="AH9" i="11"/>
  <c r="AH26" i="10"/>
  <c r="AH15" i="10"/>
  <c r="AH27" i="10"/>
  <c r="AH14" i="11"/>
  <c r="AH13" i="11"/>
  <c r="AH16" i="10"/>
  <c r="AH28" i="10"/>
  <c r="AH10" i="10"/>
  <c r="AH15" i="11"/>
  <c r="AH18" i="10"/>
  <c r="AH30" i="10"/>
  <c r="Z18" i="11"/>
  <c r="AG18" i="11" s="1"/>
  <c r="AI16" i="9"/>
  <c r="AH9" i="9"/>
  <c r="AH10" i="9"/>
  <c r="AH15" i="8"/>
  <c r="AH12" i="9"/>
  <c r="AH9" i="10"/>
  <c r="AH12" i="10"/>
  <c r="AH16" i="11"/>
  <c r="AH11" i="10"/>
  <c r="AG29" i="10"/>
  <c r="AH19" i="10"/>
  <c r="AH22" i="10"/>
  <c r="AH13" i="9"/>
  <c r="AG12" i="9"/>
  <c r="AH38" i="2"/>
  <c r="AH13" i="8"/>
  <c r="AG11" i="8"/>
  <c r="AH32" i="10"/>
  <c r="AH23" i="10"/>
  <c r="Z19" i="11"/>
  <c r="AG19" i="11" s="1"/>
  <c r="R28" i="10"/>
  <c r="Q25" i="10"/>
  <c r="Q28" i="10"/>
  <c r="P25" i="10"/>
  <c r="P32" i="10"/>
  <c r="U32" i="10"/>
  <c r="R32" i="10"/>
  <c r="Q32" i="10"/>
  <c r="AI15" i="9"/>
  <c r="AG9" i="8"/>
  <c r="AH45" i="2"/>
  <c r="AH20" i="2"/>
  <c r="AH11" i="2"/>
  <c r="AH10" i="8"/>
  <c r="AH14" i="2"/>
  <c r="AH18" i="2"/>
  <c r="AH9" i="8"/>
  <c r="AH17" i="2"/>
  <c r="AG14" i="7"/>
  <c r="AG15" i="8"/>
  <c r="U20" i="8"/>
  <c r="L19" i="8"/>
  <c r="I19" i="8"/>
  <c r="AG18" i="8"/>
  <c r="H19" i="8"/>
  <c r="AG44" i="2"/>
  <c r="AH26" i="2"/>
  <c r="AG32" i="2"/>
  <c r="AH36" i="2"/>
  <c r="AG20" i="2"/>
  <c r="U39" i="2"/>
  <c r="N41" i="2"/>
  <c r="F41" i="2"/>
  <c r="T40" i="2"/>
  <c r="U41" i="2"/>
  <c r="M41" i="2"/>
  <c r="R37" i="2"/>
  <c r="S15" i="2"/>
  <c r="E39" i="2"/>
  <c r="N39" i="2"/>
  <c r="L41" i="2"/>
  <c r="R40" i="2"/>
  <c r="M39" i="2"/>
  <c r="F39" i="2"/>
  <c r="AG10" i="7"/>
  <c r="AG15" i="9"/>
  <c r="Z20" i="11"/>
  <c r="AG20" i="11" s="1"/>
  <c r="AG11" i="7"/>
  <c r="AG17" i="8"/>
  <c r="AG43" i="2"/>
  <c r="T17" i="8"/>
  <c r="T19" i="8" s="1"/>
  <c r="R26" i="2"/>
  <c r="R22" i="2" s="1"/>
  <c r="S36" i="2"/>
  <c r="S39" i="2" s="1"/>
  <c r="R15" i="2"/>
  <c r="T38" i="2"/>
  <c r="AG45" i="2"/>
  <c r="AG9" i="2"/>
  <c r="Z17" i="11"/>
  <c r="AG17" i="11" s="1"/>
  <c r="AG16" i="7"/>
  <c r="P35" i="2"/>
  <c r="P41" i="2" s="1"/>
  <c r="AG37" i="2"/>
  <c r="AG46" i="2"/>
  <c r="AG17" i="7"/>
  <c r="AG10" i="2"/>
  <c r="AG14" i="2"/>
  <c r="AG12" i="2"/>
  <c r="AG10" i="11"/>
  <c r="AG10" i="9"/>
  <c r="AG36" i="2"/>
  <c r="AH17" i="8" l="1"/>
  <c r="AI17" i="8"/>
  <c r="AH18" i="8"/>
  <c r="AI18" i="8"/>
  <c r="Q35" i="2"/>
  <c r="Q41" i="2"/>
  <c r="T28" i="2"/>
  <c r="T39" i="2"/>
  <c r="T41" i="2"/>
  <c r="AH11" i="8"/>
  <c r="S35" i="2"/>
  <c r="S41" i="2" s="1"/>
  <c r="R39" i="2"/>
  <c r="AH18" i="11"/>
  <c r="AH19" i="11"/>
  <c r="AG16" i="9"/>
  <c r="AH16" i="9"/>
  <c r="AH17" i="11"/>
  <c r="AH15" i="9"/>
  <c r="AH20" i="11"/>
  <c r="AH9" i="2"/>
  <c r="AH13" i="2"/>
  <c r="AG19" i="8"/>
  <c r="AH39" i="2"/>
  <c r="AG13" i="2"/>
  <c r="AG39" i="2"/>
  <c r="R28" i="2"/>
  <c r="R35" i="2"/>
  <c r="R41" i="2" s="1"/>
  <c r="AG35" i="2"/>
  <c r="AG26" i="2"/>
  <c r="AH19" i="8" l="1"/>
  <c r="AI19" i="8"/>
  <c r="AH15" i="2"/>
  <c r="AH28" i="2"/>
  <c r="AH22" i="2"/>
  <c r="AH35" i="2"/>
  <c r="AG15" i="2"/>
  <c r="AG28" i="2"/>
  <c r="AG22" i="2"/>
  <c r="AH41" i="2" l="1"/>
  <c r="AG41" i="2"/>
</calcChain>
</file>

<file path=xl/sharedStrings.xml><?xml version="1.0" encoding="utf-8"?>
<sst xmlns="http://schemas.openxmlformats.org/spreadsheetml/2006/main" count="445" uniqueCount="146">
  <si>
    <t>Retraités du régime général champ salariés</t>
  </si>
  <si>
    <t>2019*</t>
  </si>
  <si>
    <t>HOMMES</t>
  </si>
  <si>
    <t>Droits directs</t>
  </si>
  <si>
    <t xml:space="preserve">Dont droits directs contributifs : </t>
  </si>
  <si>
    <t>Ensemble des droits</t>
  </si>
  <si>
    <t xml:space="preserve">   Dont retraités ayant bénéficié d'une retraite anticipée ou mesure dérogatoire :</t>
  </si>
  <si>
    <t>Retraites anticipées longue carrière</t>
  </si>
  <si>
    <t>Retraites anticipées pour assurés handicapés</t>
  </si>
  <si>
    <t>Travailleurs de l'amiante</t>
  </si>
  <si>
    <t>Incapacité permanente</t>
  </si>
  <si>
    <t>FEMMES</t>
  </si>
  <si>
    <t xml:space="preserve">    Dont droits directs contributifs : </t>
  </si>
  <si>
    <t xml:space="preserve">    Dont retraités ayant bénéficié d'une retraite anticipée ou mesure dérogatoire :</t>
  </si>
  <si>
    <t>ENSEMBLE</t>
  </si>
  <si>
    <t xml:space="preserve">* 2019 : rupture de série suite à l'intégration du régime des travailleurs indépendants au régime général </t>
  </si>
  <si>
    <t xml:space="preserve"> Pensions normales</t>
  </si>
  <si>
    <t>Pensions d'ex-invalides</t>
  </si>
  <si>
    <t>Pensions pour inaptitude au travail</t>
  </si>
  <si>
    <t>Total des droits directs contributifs</t>
  </si>
  <si>
    <t>Droit direct</t>
  </si>
  <si>
    <t>Pour en savoir plus</t>
  </si>
  <si>
    <t xml:space="preserve">Pension normale </t>
  </si>
  <si>
    <t>Pension attribuée au titre du droit commun (i.e. hors pensions pour inaptitude au travail ou d'ex-invalide)</t>
  </si>
  <si>
    <t>Pension d'ex-invalide</t>
  </si>
  <si>
    <t xml:space="preserve">Pension accordée à un assuré qui perçevait une pension d'invalidité avant son passage à la retraite </t>
  </si>
  <si>
    <t xml:space="preserve">Pension accordée à un assuré dont la capacité de travail ou de gain est réduite de 50 %, médicalement constatée </t>
  </si>
  <si>
    <t>Retraite anticipée longue carrière</t>
  </si>
  <si>
    <t xml:space="preserve">Retraite permettant le départ entre 56 ans et l'âge légal pour des assurés justifiant d'une carrière longue </t>
  </si>
  <si>
    <t>Travailleur de l'amiante</t>
  </si>
  <si>
    <t xml:space="preserve">Retraité qui bénéficiait de l'Allocation aux Travailleurs de l'Amiante </t>
  </si>
  <si>
    <t xml:space="preserve">Incapacité permanente </t>
  </si>
  <si>
    <t xml:space="preserve">Retraité qui justifiait d'une incapacité permanente  au titre d'une maladie professionnelle ou d'un accident de travail, au-delà d'un certain taux </t>
  </si>
  <si>
    <t>Définitions</t>
  </si>
  <si>
    <t>Définition</t>
  </si>
  <si>
    <t>Droit acquis par un assuré en contrepartie de son activité professionnelle et donc des cotisations versées (et des trimestres validés) en vue de la retraite. Il ne tient pas compte de l'éventuelle pension de réversion ou de l'allocation du minimum vieillesse.</t>
  </si>
  <si>
    <t xml:space="preserve">Pour en savoir plus </t>
  </si>
  <si>
    <t>Droit dérivé</t>
  </si>
  <si>
    <t>Une partie des droits acquis par l'assuré décédé peut être transféré au conjoint ou ex-conjoint, sous condition de ressources et d’âge. On parle alors de droit dérivé ou de pension de réversion. Le droit dérivé peut être cumulé avec un droit direct.</t>
  </si>
  <si>
    <t xml:space="preserve">Montants globaux mensuels des pensions </t>
  </si>
  <si>
    <t xml:space="preserve"> Droits directs toutes carrières</t>
  </si>
  <si>
    <t xml:space="preserve"> Droits directs avec carrière complète au régime général</t>
  </si>
  <si>
    <t xml:space="preserve"> Ensemble</t>
  </si>
  <si>
    <t>Ensemble des avantages de droit direct et de droit dérivé servis : montant de base après application des règles de minimum (minimum contributif ou minimum des pensions de réversion) et maximum (écrêtement du plafond de la Sécurité sociale) + compléments de pensions éventuels. Montant brut avant prélèvements sociaux et hors régimes complémentaires.</t>
  </si>
  <si>
    <t>Montants globaux</t>
  </si>
  <si>
    <t>Montants mensuels moyens des droits directs</t>
  </si>
  <si>
    <t>Montant mensuel moyen de la pension de base versée par le RG</t>
  </si>
  <si>
    <t>Montant de la pension de base du droit direct</t>
  </si>
  <si>
    <t>Droit direct toute carrière</t>
  </si>
  <si>
    <t>Montant de base du droit direct ramené au maximum et éventuellement porté au minimum (minimum contributif depuis 1983), majoré de la surcote et de la majoration de 10 % pour enfants le cas échéant quelle que soit la carrière. Montant brut avant prélèvements sociaux. Ce montant ne tient pas compte des retraites versées par les autres régimes de base et complémentaires.</t>
  </si>
  <si>
    <t>Droit direct avec carrière complète liquidée au régime général</t>
  </si>
  <si>
    <t>Montant de base du droit direct ramené au maximum et éventuellement porté au minimum (minimum contributif depuis 1983), majoré de la surcote et de la majoration de 10 % pour enfants le cas échéant dont la pension est servie entière (taux plein et non proratisée). Montant brut avant prélèvements sociaux. Ce montant ne tient pas compte des retraites versées par les autres régimes de base et complémentaires. On considère qu’un retraité a une carrière complète liquidée au régime général, s’il a obtenu une pension à taux plein et sans prorata de durée d'assurance au régime général. La durée d’assurance au régime général inclut la durée d'assurance à la MSA salarié et indépendants (ex-RSI) si la pension a été liquidée de manière unique pour les régimes alignés par le régime général (LURA).</t>
  </si>
  <si>
    <t>Montants mensuels moyens des droits dérivés</t>
  </si>
  <si>
    <t>Bénéficiaires d'un droit dérivé seul</t>
  </si>
  <si>
    <t>Montant mensuel moyen du droit dérivé</t>
  </si>
  <si>
    <t>Montant de base du droit dérivé au régime général ramené au maximum et éventuellement porté au minimum, augmenté de la majoration de la pension de réversion et de la majoration de 10 % pour enfants le cas échéant. Montant brut avant prélèvements sociaux. Ce montant ne tient pas compte des retraites versées par les autres régimes de base et complémentaires.</t>
  </si>
  <si>
    <t xml:space="preserve">Bénéficiaires de droit dérivé et de la majoration </t>
  </si>
  <si>
    <t>Droits dérivés servis avec un droit direct au régime général</t>
  </si>
  <si>
    <t>Total des droits dérivés</t>
  </si>
  <si>
    <t>Bénéficiaires de la majoration de pension de réversion</t>
  </si>
  <si>
    <t>-</t>
  </si>
  <si>
    <t xml:space="preserve">Droit dérivé </t>
  </si>
  <si>
    <t>Une partie des droits acquis par l'assuré décédé peuvent être transférés au conjoint ou ex-conjoint, sous condition de ressources et d’âge. On parle alors de droit dérivé ou de pension de réversion. Le droit dérivé peut être cumulé avec un droit direct.</t>
  </si>
  <si>
    <t xml:space="preserve">Pensions portées au minimum </t>
  </si>
  <si>
    <t>Minimum contributif (servi)</t>
  </si>
  <si>
    <t>Ensemble</t>
  </si>
  <si>
    <t xml:space="preserve">Minimum contributif </t>
  </si>
  <si>
    <t xml:space="preserve">Minimum contributif (Mico) applicable à compter du 1er avril 1983 pour les assurés qui bénéficient d'une pension à taux plein, avant écrètement lié à la prise en compte des conditions de subsidiarité et de montant de pension tous régimes introduites en 2012. Le Mico, pension minimale différentielle, relève le montant de la retraite de base à un montant minimum calculé individuellement en fonction de la durée d’assurance de l’assuré.
Sont comptablisés ici tous les nouveaux retraités éligibles au Mico au régime général avant application des conditions de subsidiarité et de montant de pension tous régimes. En effet, le montant définitif du Mico, qui dépend de la situation de l'assuré vis-à-vis des autres régimes, n'est pas toujours connu dès le départ de la pension de l'assuré au régime général. Parmi les assurés éligibles au Mico avant écrètement, certains perçoivent donc dès le début de leur retraite un montant positif au titre du Mico (soit à titre d'avance, soit à titre définitif), et d'autres ont un montant de Mico nul (à titre provisoire dans l'attente des informations des autres régimes, ou à titre définitif). </t>
  </si>
  <si>
    <t>Complément de pension</t>
  </si>
  <si>
    <t>Majoration pour conjoint à charge</t>
  </si>
  <si>
    <t>Majoration pour enfants</t>
  </si>
  <si>
    <t>Majoration forfaitaire pour charge d'enfant</t>
  </si>
  <si>
    <t>Majoration pour tierce personne</t>
  </si>
  <si>
    <t>Pensions assorties d'une 
majoration L814-2 :</t>
  </si>
  <si>
    <t>a - à titre de prestataire</t>
  </si>
  <si>
    <t>b - à titre de conjoint seul</t>
  </si>
  <si>
    <t>c - à titre de prestataire et conjoint (comptés pour 1)</t>
  </si>
  <si>
    <t>Total des majorations L814-2 (a+b+2xc)</t>
  </si>
  <si>
    <t>Anciennes allocations L814-2</t>
  </si>
  <si>
    <t>Majoration enfant</t>
  </si>
  <si>
    <t>L'assuré qui a eu ou élevé au moins 3 enfants a droit à la majoration pour enfants. Cette majoration s'ajoute à l'avantage de base.</t>
  </si>
  <si>
    <t>Majoration forfaitaire pour enfant</t>
  </si>
  <si>
    <t>Majoration pour Tierce personne</t>
  </si>
  <si>
    <t xml:space="preserve">Le demandeur qui n'est pas titulaire d'une retraite personnelle peut obtenir une majoration de son avantage de réversion pour chaque enfant à charge. </t>
  </si>
  <si>
    <t>Minimum vieillesse</t>
  </si>
  <si>
    <t>Statistiques labellisées par l'Autorité de la statistique publique, NOR : ECOO2102033V</t>
  </si>
  <si>
    <t xml:space="preserve">Montants exprimés en euros valeur au 31 décembre de l'année </t>
  </si>
  <si>
    <t xml:space="preserve">La loi de financement de la sécurité sociale de 2018 a prévu la suppression du RSI et le transfert de la protection sociale des travailleurs indépendants au régime général. Ainsi depuis le 1er janvier 2020, le régime général est chargé de gérer la liquidation et le paiement des retraités de base et des retraites du régime complémentaire des travailleurs indépendants (RCI). </t>
  </si>
  <si>
    <t xml:space="preserve">Ces séries portent sur les retraités du Régime général, résidant en France ou à l’étranger, vivants au 31 décembre de chaque année, bénéficiaires d'un droit direct ou d'un droit dérivé (réversion). </t>
  </si>
  <si>
    <t>Données non disponibles</t>
  </si>
  <si>
    <t>Minimum Vieillesse</t>
  </si>
  <si>
    <t>La majoration pour conjoint à charge n'est plus attribuée depuis le 01/01/2011. Le paiement est poursuivi pour les bénéficiaires de cette majoration au 31/12/2010, tant que le conjoint à charge remplit les conditions de ressources.</t>
  </si>
  <si>
    <t>* Droits dérivés : en 2019, les bénéficiaires de droits dérivés servis seuls dans l'outil de gestion du régime général peuvent également être bénéficiaires d'un droit direct lié à une carrière indépendante dans l'outil de gestion de la sécurité sociale des indépendants. En mutualisant les données des deux outils de gestion, ces retraités sont comptés parmi les droits directs et non plus en tant que droits dérivés, d'où une baisse sensible des droits dérivés servis seuls entre les deux champs pour 2019 pour les hommes.</t>
  </si>
  <si>
    <t>Droit acquis par un assuré en contrepartie de son activité professionnelle et donc des cotisations versées (et des trimestres validés) en vue de la retraite. Il ne tient pas compte de l'éventuelle pension de réversion ou des allocations du minimum vieillesse.</t>
  </si>
  <si>
    <t>Complément de retraite premier niveau qui permet de porter le montant des avantages de vieillesse au montant de l'allocation aux vieux travailleurs salariés (sous condition d'âge et de ressources). Ancienne majoration toujours servie mais plus attribuée depuis 2006.  Genre du titulaire de la retraite de base</t>
  </si>
  <si>
    <t>Majoration attribuée à l'assuré titulaire d'une retraite ouvrant droit à cette majoration et qui a besoin de l'assistance d'une tierce personne pour accomplir les actes ordinaires de la vie quotidienne.</t>
  </si>
  <si>
    <t>Allocation supplémentaire (ancien dispositif) + Aspa (allocation de solidarité aux personnes âgées ; art. L.815-1)
 + ASI (allocation supplémentaire d'invalidité ; art. L.815-24). Genre du titulaire de la retraite de base.</t>
  </si>
  <si>
    <r>
      <rPr>
        <b/>
        <u/>
        <sz val="10"/>
        <color indexed="8"/>
        <rFont val="Calibri"/>
        <family val="2"/>
      </rPr>
      <t>EN 2019 : rupture de série</t>
    </r>
    <r>
      <rPr>
        <b/>
        <sz val="10"/>
        <color indexed="8"/>
        <rFont val="Calibri"/>
        <family val="2"/>
      </rPr>
      <t xml:space="preserve">. </t>
    </r>
    <r>
      <rPr>
        <sz val="10"/>
        <color indexed="8"/>
        <rFont val="Calibri"/>
        <family val="2"/>
      </rPr>
      <t xml:space="preserve">La population de retraités en paiement au régime général au 31 décembre 2019 est passée de 14 541 742 à 14 710 837.
Une grande majorité des retraités ont eu une carrière salariée sans carrière indépendante (87 %). Parmi ceux ayant eu une carrière indépendante, seulement 1 % d'entre eux ont eu uniquement une carrière indépendante sans carrière salariée. Ainsi avec l'intégration du régime des travailleurs indépendants au régime général nous dénombrons très peu de retraités supplémentaires : 169 095. 
A compter de 2019, les données proviennent de la fusion des 2 bases (SNSP TSTI) et portent sur la nouvelle population du régime général : retraités ayant une retraite liée à une carrière salariée et/ou une carrière indépendante.
Les montants figurant dans ces séries sont des montants servis au 31 décembre de chaque année.
</t>
    </r>
  </si>
  <si>
    <t xml:space="preserve">Les séries statistiques labellisées de la Cnav produites de 2003 à 2019 proviennent de la base statistique SNSP (Système National Statistiques Prestataires). </t>
  </si>
  <si>
    <t xml:space="preserve"> Ensemble des droits dérivés</t>
  </si>
  <si>
    <t xml:space="preserve">Désormais, au régime général, il subsiste deux outils de gestion : l’outil retraite du régime général (OR) et l’outil de gestion de l’ex-RSI (ASUR - Application du Système Unique de Retraite). Les attributions des retraites de base des travailleurs indépendants entrant dans le périmètre LURA (liquidation unique des régimes alignés) sont désormais en majorité traitées dans l’Outil Retraite du régime général (OR). Les retraites qui n’ont pas pu être traitées en LURA sont toujours gérées dans le système de liquidation et de paiement de l’ex-RSI (ASUR). Demeurent également dans l’outil de gestion de l'ex-RSI le stock des retraites en paiement toujours actives.
Afin de pouvoir répondre aux besoins statistiques, une base dénommée SNSP TI qui porte sur l’ensemble des retraités TI issus d’ASUR avait été créée en 2020. Une nouvelle base de données a été créé en 2021 : la base stock SNSP TSTI. Elle a été créée en appariant le SNSP (données OR) avec le SNSP TI (données ASUR). La DSPR utilise désormais cette nouvelle base stock pour alimenter les séries labellisées.
</t>
  </si>
  <si>
    <t>2020/2019</t>
  </si>
  <si>
    <t>2021/2020</t>
  </si>
  <si>
    <t>Séries sur les retraités du régime général en paiement au 31 décembre de l'année</t>
  </si>
  <si>
    <r>
      <rPr>
        <sz val="9"/>
        <rFont val="Arial"/>
        <family val="2"/>
      </rPr>
      <t>"-"</t>
    </r>
    <r>
      <rPr>
        <i/>
        <sz val="9"/>
        <rFont val="Arial"/>
        <family val="2"/>
      </rPr>
      <t xml:space="preserve"> </t>
    </r>
    <r>
      <rPr>
        <sz val="9"/>
        <rFont val="Arial"/>
        <family val="2"/>
      </rPr>
      <t xml:space="preserve">:  dispositif non existant </t>
    </r>
  </si>
  <si>
    <t>* La distinction entre les pensions normales, ex-invalides et inaptes est indispensable en 2019 et 2020 pour les travailleurs indépendants, et donc sur le champ global du régime général ces années-là.</t>
  </si>
  <si>
    <t>Évolution</t>
  </si>
  <si>
    <t>Sources : SNSP et SNSP TSTI</t>
  </si>
  <si>
    <t>* 2019 : rupture de série suite à l'intégration du régime des travailleurs indépendants au régime général. Les montants correspondent désormais au total des droits salariés et indépendants.</t>
  </si>
  <si>
    <t>Retraités du régime général champ salariés et travailleurs indépendants</t>
  </si>
  <si>
    <t xml:space="preserve"> Droits dérivés (sans droit direct au régime général)</t>
  </si>
  <si>
    <t>Droits dérivés (sans droit direct au régime général)</t>
  </si>
  <si>
    <t>Pensions assorties du minimum vieillesse :</t>
  </si>
  <si>
    <t>Total des allocataires du minimum vieillesse (a+b+2xc)</t>
  </si>
  <si>
    <t>Nombre de retraités en paiement au 31 décembre</t>
  </si>
  <si>
    <t>Âge moyen des retraités au 31 décembre</t>
  </si>
  <si>
    <t>Bénéficiaires d'un droit dérivé servi avec un DP au régime général</t>
  </si>
  <si>
    <t>Champ : retraités de droit direct et de droit dérivé du régime général (hors outils de gestion de la Sécurité sociale pour les indépendants jusqu'à fin 2018)</t>
  </si>
  <si>
    <t>Champ : retraités de droit direct du régime général (hors outils de gestion de la Sécurité sociale pour les indépendants jusqu'à fin 2018)</t>
  </si>
  <si>
    <t>Champ : retraités de droit dérivé du régime général (hors outils de gestion de la Sécurité sociale pour les indépendants jusqu'à fin 2018)</t>
  </si>
  <si>
    <t xml:space="preserve">L’allocation aux vieux travailleurs salariés (AVTS) est une ancienne allocation du minimum vieillesse instaurée par la loi du 14 mars 1941 et remplacée par l'ASPA en 2006. Elle n'est plus attribuée à compter de cette date mais continue d'être servie.
La retraite de réversion ne peut pas être inférieure à un montant minimum. Une retraite de réversion égale à 0 euro ouvre droit à une retraite de réversion portée au minimum. </t>
  </si>
  <si>
    <t>Minimum AVTS / Minimum des pensions de reversion</t>
  </si>
  <si>
    <t>Minimum AVTS et / ou Minimum des pension de réversion</t>
  </si>
  <si>
    <t>2022/2021</t>
  </si>
  <si>
    <t>Traitement de l’élargissement du champ du régime général aux indépendants</t>
  </si>
  <si>
    <t>2023/2022</t>
  </si>
  <si>
    <t>https://legislation.lassuranceretraite.fr/#/portail?menuId=1e4f6717-1115-4a9e-a07c-8460e27b4eaf</t>
  </si>
  <si>
    <t>https://legislation.lassuranceretraite.fr/#/portail?menuId=6145fb4c-1724-419c-9115-cffe62159464</t>
  </si>
  <si>
    <t>https://legislation.lassuranceretraite.fr/#/portail?menuId=c9c86875-4fcf-47cd-8875-d3c64d74af5b</t>
  </si>
  <si>
    <t>https://legislation.lassuranceretraite.fr/#/portail?menuId=0aa51283-9e4b-4714-a454-8ae313def6f2</t>
  </si>
  <si>
    <t>https://legislation.lassuranceretraite.fr/#/portail?menuId=eefc515b-4f33-4c63-87d1-1d4437af3592</t>
  </si>
  <si>
    <t>https://legislation.lassuranceretraite.fr/#/expose?file_leaf_ref=allocation_avant_retraite_ata_ex.aspx</t>
  </si>
  <si>
    <t>https://legislation.lassuranceretraite.fr/#/portail?menuId=1c16c24d-2f17-4b8a-9551-52d6746cbb3a</t>
  </si>
  <si>
    <t>https://legislation.lassuranceretraite.fr/#/expose?file_leaf_ref=retraite_personnelle_minimum_contributif_minimum_contributif_depuis_2012_ex.aspx</t>
  </si>
  <si>
    <t>https://legislation.lassuranceretraite.fr/#/expose?file_leaf_ref=ancienne_prestation_l814_2_condition_attribution_ex.aspx</t>
  </si>
  <si>
    <t>https://legislation.lassuranceretraite.fr/#/expose?file_leaf_ref=majoration_enfant_majoration_enfant_ex.aspx</t>
  </si>
  <si>
    <t>https://legislation.lassuranceretraite.fr/#/expose?file_leaf_ref=reglement_europeen_mfe_mfe_ex.aspx</t>
  </si>
  <si>
    <t>https://legislation.lassuranceretraite.fr/#/expose?file_leaf_ref=mtp_mtp_ex.aspx</t>
  </si>
  <si>
    <t>https://legislation.lassuranceretraite.fr/#/expose?file_leaf_ref=ancienne_prestation_mc_montant_ex.aspx</t>
  </si>
  <si>
    <t>https://legislation.lassuranceretraite.fr/#/portail?menuId=70f48c78-a34f-4ab6-a006-dd9c32ea89bf</t>
  </si>
  <si>
    <t>https://legislation.lassuranceretraite.fr/#/portail?menuId=2c8ebaa1-e74c-46a0-89ea-5ce903cdc546</t>
  </si>
  <si>
    <t>https://legislation.lassuranceretraite.fr/#/portail?menuId=a6714a10-fe66-4a6b-b85a-2257254c0d3f</t>
  </si>
  <si>
    <t xml:space="preserve">https://legislation.lassuranceretraite.fr/#/expose?file_leaf_ref=ancienne_prestation_avts_montant_ex.aspx
</t>
  </si>
  <si>
    <t>https://legislation.lassuranceretraite.fr/#/bareme?file_leaf_ref=retraite_reversion_montant_minimum_bar.aspx</t>
  </si>
  <si>
    <t>2024/2023</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</si>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</sst>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44" formatCode="_-* #,##0.00\ &quot;€&quot;_-;\-* #,##0.00\ &quot;€&quot;_-;_-* &quot;-&quot;??\ &quot;€&quot;_-;_-@_-"/>
    <numFmt numFmtId="164" formatCode="_-* #,##0.00\ _€_-;\-* #,##0.00\ _€_-;_-* &quot;-&quot;??\ _€_-;_-@_-"/>
    <numFmt numFmtId="165" formatCode="#,##0;[Red]#,##0"/>
    <numFmt numFmtId="166" formatCode="_-* #,##0\ _€_-;\-* #,##0\ _€_-;_-* &quot;-&quot;??\ _€_-;_-@_-"/>
    <numFmt numFmtId="167" formatCode="0.0&quot; ans&quot;"/>
    <numFmt numFmtId="168" formatCode="#,##0\ &quot;€&quot;"/>
    <numFmt numFmtId="169" formatCode="#,##0\ &quot;€&quot;\ &quot;  &quot;"/>
    <numFmt numFmtId="170" formatCode="#,##0\ &quot;€&quot;&quot; &quot;"/>
    <numFmt numFmtId="171" formatCode="0.0%"/>
  </numFmts>
  <fonts count="51" x14ac:knownFonts="1">
    <font>
      <sz val="11"/>
      <color theme="1"/>
      <name val="Calibri"/>
      <family val="2"/>
      <scheme val="minor"/>
    </font>
    <font>
      <sz val="11"/>
      <name val="Arial"/>
      <family val="2"/>
    </font>
    <font>
      <sz val="10"/>
      <name val="Arial"/>
      <family val="2"/>
    </font>
    <font>
      <sz val="8"/>
      <name val="Arial"/>
      <family val="2"/>
    </font>
    <font>
      <b/>
      <sz val="10"/>
      <name val="Arial"/>
      <family val="2"/>
    </font>
    <font>
      <b/>
      <sz val="9"/>
      <name val="Arial"/>
      <family val="2"/>
    </font>
    <font>
      <b/>
      <sz val="11"/>
      <name val="Arial"/>
      <family val="2"/>
    </font>
    <font>
      <sz val="9"/>
      <name val="Arial"/>
      <family val="2"/>
    </font>
    <font>
      <b/>
      <sz val="8"/>
      <name val="Arial"/>
      <family val="2"/>
    </font>
    <font>
      <i/>
      <sz val="10"/>
      <name val="ARIAL"/>
      <family val="2"/>
    </font>
    <font>
      <b/>
      <sz val="12"/>
      <name val="Arial"/>
      <family val="2"/>
    </font>
    <font>
      <b/>
      <i/>
      <u/>
      <sz val="10"/>
      <name val="ARIAL"/>
      <family val="2"/>
    </font>
    <font>
      <i/>
      <sz val="8"/>
      <name val="ARIAL"/>
      <family val="2"/>
    </font>
    <font>
      <sz val="10"/>
      <color indexed="8"/>
      <name val="Calibri"/>
      <family val="2"/>
    </font>
    <font>
      <u/>
      <sz val="8"/>
      <name val="Arial"/>
      <family val="2"/>
    </font>
    <font>
      <b/>
      <sz val="10"/>
      <name val="Arial Narrow"/>
      <family val="2"/>
    </font>
    <font>
      <b/>
      <sz val="7"/>
      <name val="Arial"/>
      <family val="2"/>
    </font>
    <font>
      <sz val="8"/>
      <name val="Calibri"/>
      <family val="2"/>
    </font>
    <font>
      <b/>
      <sz val="10"/>
      <color indexed="8"/>
      <name val="Calibri"/>
      <family val="2"/>
    </font>
    <font>
      <b/>
      <u/>
      <sz val="10"/>
      <color indexed="8"/>
      <name val="Calibri"/>
      <family val="2"/>
    </font>
    <font>
      <b/>
      <i/>
      <sz val="11"/>
      <name val="Arial"/>
      <family val="2"/>
    </font>
    <font>
      <b/>
      <i/>
      <sz val="8"/>
      <name val="Arial"/>
      <family val="2"/>
    </font>
    <font>
      <i/>
      <sz val="11"/>
      <name val="Arial"/>
      <family val="2"/>
    </font>
    <font>
      <i/>
      <sz val="9"/>
      <name val="Arial"/>
      <family val="2"/>
    </font>
    <font>
      <b/>
      <sz val="6"/>
      <name val="Arial"/>
      <family val="2"/>
    </font>
    <font>
      <b/>
      <i/>
      <sz val="10"/>
      <name val="Arial"/>
      <family val="2"/>
    </font>
    <font>
      <b/>
      <sz val="5"/>
      <name val="Arial"/>
      <family val="2"/>
    </font>
    <font>
      <b/>
      <sz val="5.5"/>
      <name val="Arial"/>
      <family val="2"/>
    </font>
    <font>
      <b/>
      <sz val="6.5"/>
      <name val="Arial"/>
      <family val="2"/>
    </font>
    <font>
      <b/>
      <sz val="6.8"/>
      <name val="Arial"/>
      <family val="2"/>
    </font>
    <font>
      <sz val="8"/>
      <name val="Calibri"/>
      <family val="2"/>
    </font>
    <font>
      <sz val="11"/>
      <color theme="1"/>
      <name val="Calibri"/>
      <family val="2"/>
      <scheme val="minor"/>
    </font>
    <font>
      <u/>
      <sz val="11"/>
      <color theme="10"/>
      <name val="Calibri"/>
      <family val="2"/>
      <scheme val="minor"/>
    </font>
    <font>
      <b/>
      <sz val="12"/>
      <color theme="0"/>
      <name val="Arial"/>
      <family val="2"/>
    </font>
    <font>
      <sz val="12"/>
      <color theme="0"/>
      <name val="Arial"/>
      <family val="2"/>
    </font>
    <font>
      <sz val="11"/>
      <color rgb="FFFF0000"/>
      <name val="Arial"/>
      <family val="2"/>
    </font>
    <font>
      <sz val="8"/>
      <color rgb="FFFF0000"/>
      <name val="Arial"/>
      <family val="2"/>
    </font>
    <font>
      <b/>
      <sz val="10"/>
      <color theme="0"/>
      <name val="Arial Narrow"/>
      <family val="2"/>
    </font>
    <font>
      <sz val="10"/>
      <color theme="1"/>
      <name val="Arial Narrow"/>
      <family val="2"/>
    </font>
    <font>
      <b/>
      <sz val="10"/>
      <color theme="1"/>
      <name val="Arial Narrow"/>
      <family val="2"/>
    </font>
    <font>
      <i/>
      <sz val="10"/>
      <color theme="1"/>
      <name val="Arial Narrow"/>
      <family val="2"/>
    </font>
    <font>
      <sz val="10"/>
      <color theme="1"/>
      <name val="Calibri"/>
      <family val="2"/>
      <scheme val="minor"/>
    </font>
    <font>
      <u/>
      <sz val="9"/>
      <color theme="10"/>
      <name val="Calibri"/>
      <family val="2"/>
      <scheme val="minor"/>
    </font>
    <font>
      <sz val="9"/>
      <color rgb="FFFF0000"/>
      <name val="Arial"/>
      <family val="2"/>
    </font>
    <font>
      <i/>
      <sz val="8"/>
      <color theme="1"/>
      <name val="Arial"/>
      <family val="2"/>
    </font>
    <font>
      <i/>
      <sz val="8"/>
      <color rgb="FFFF0000"/>
      <name val="Arial"/>
      <family val="2"/>
    </font>
    <font>
      <b/>
      <sz val="11"/>
      <color theme="0"/>
      <name val="Arial"/>
      <family val="2"/>
    </font>
    <font>
      <b/>
      <sz val="10"/>
      <color theme="1"/>
      <name val="Arial"/>
      <family val="2"/>
    </font>
    <font>
      <sz val="10"/>
      <color theme="1"/>
      <name val="Calibri"/>
      <family val="2"/>
    </font>
    <font>
      <sz val="9"/>
      <color theme="1"/>
      <name val="Arial"/>
      <family val="2"/>
    </font>
    <font>
      <b/>
      <sz val="12"/>
      <color theme="1"/>
      <name val="Calibri"/>
      <family val="2"/>
      <scheme val="minor"/>
    </font>
  </fonts>
  <fills count="12">
    <fill>
      <patternFill patternType="none"/>
    </fill>
    <fill>
      <patternFill patternType="gray125"/>
    </fill>
    <fill>
      <patternFill patternType="gray0625"/>
    </fill>
    <fill>
      <patternFill patternType="solid">
        <fgColor theme="0"/>
        <bgColor indexed="64"/>
      </patternFill>
    </fill>
    <fill>
      <patternFill patternType="solid">
        <fgColor rgb="FFFF9900"/>
        <bgColor indexed="64"/>
      </patternFill>
    </fill>
    <fill>
      <patternFill patternType="solid">
        <fgColor rgb="FFC9D971"/>
        <bgColor indexed="64"/>
      </patternFill>
    </fill>
    <fill>
      <patternFill patternType="solid">
        <fgColor theme="0" tint="-0.14999847407452621"/>
        <bgColor indexed="64"/>
      </patternFill>
    </fill>
    <fill>
      <patternFill patternType="solid">
        <fgColor rgb="FFD8D8D8"/>
        <bgColor indexed="64"/>
      </patternFill>
    </fill>
    <fill>
      <patternFill patternType="solid">
        <fgColor rgb="FF009BD3"/>
        <bgColor indexed="64"/>
      </patternFill>
    </fill>
    <fill>
      <patternFill patternType="solid">
        <fgColor rgb="FFFFFFFF"/>
        <bgColor indexed="64"/>
      </patternFill>
    </fill>
    <fill>
      <patternFill patternType="solid">
        <fgColor theme="3" tint="0.79998168889431442"/>
        <bgColor indexed="64"/>
      </patternFill>
    </fill>
    <fill>
      <patternFill patternType="gray0625">
        <bgColor theme="0"/>
      </patternFill>
    </fill>
  </fills>
  <borders count="75">
    <border>
      <left/>
      <right/>
      <top/>
      <bottom/>
      <diagonal/>
    </border>
    <border>
      <left/>
      <right/>
      <top/>
      <bottom style="thin">
        <color indexed="55"/>
      </bottom>
      <diagonal/>
    </border>
    <border>
      <left/>
      <right/>
      <top style="thin">
        <color indexed="55"/>
      </top>
      <bottom style="thin">
        <color indexed="55"/>
      </bottom>
      <diagonal/>
    </border>
    <border>
      <left/>
      <right/>
      <top style="thin">
        <color indexed="55"/>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rgb="FF0071B9"/>
      </top>
      <bottom style="medium">
        <color rgb="FF0071B9"/>
      </bottom>
      <diagonal/>
    </border>
    <border>
      <left/>
      <right/>
      <top/>
      <bottom style="medium">
        <color rgb="FF0071B9"/>
      </bottom>
      <diagonal/>
    </border>
    <border>
      <left style="thick">
        <color theme="0" tint="-0.14990691854609822"/>
      </left>
      <right/>
      <top style="thick">
        <color rgb="FF009BD3"/>
      </top>
      <bottom style="medium">
        <color theme="0" tint="-0.14996795556505021"/>
      </bottom>
      <diagonal/>
    </border>
    <border>
      <left/>
      <right/>
      <top style="thick">
        <color rgb="FF009BD3"/>
      </top>
      <bottom style="medium">
        <color theme="0" tint="-0.14996795556505021"/>
      </bottom>
      <diagonal/>
    </border>
    <border>
      <left/>
      <right/>
      <top/>
      <bottom style="medium">
        <color theme="0" tint="-0.14996795556505021"/>
      </bottom>
      <diagonal/>
    </border>
    <border>
      <left/>
      <right/>
      <top style="medium">
        <color theme="0" tint="-0.14996795556505021"/>
      </top>
      <bottom style="medium">
        <color theme="0" tint="-0.14996795556505021"/>
      </bottom>
      <diagonal/>
    </border>
    <border>
      <left/>
      <right/>
      <top/>
      <bottom style="thick">
        <color rgb="FF0071B9"/>
      </bottom>
      <diagonal/>
    </border>
    <border>
      <left/>
      <right/>
      <top style="thin">
        <color indexed="64"/>
      </top>
      <bottom style="medium">
        <color theme="0" tint="-0.14996795556505021"/>
      </bottom>
      <diagonal/>
    </border>
    <border>
      <left/>
      <right/>
      <top style="thick">
        <color rgb="FF0071B9"/>
      </top>
      <bottom/>
      <diagonal/>
    </border>
    <border>
      <left/>
      <right/>
      <top/>
      <bottom style="thick">
        <color rgb="FF009BD3"/>
      </bottom>
      <diagonal/>
    </border>
    <border>
      <left/>
      <right/>
      <top style="medium">
        <color theme="0" tint="-0.14996795556505021"/>
      </top>
      <bottom style="thick">
        <color rgb="FF009BD3"/>
      </bottom>
      <diagonal/>
    </border>
    <border>
      <left style="thin">
        <color indexed="64"/>
      </left>
      <right/>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thin">
        <color indexed="64"/>
      </left>
      <right/>
      <top style="medium">
        <color theme="0" tint="-0.14996795556505021"/>
      </top>
      <bottom style="thick">
        <color rgb="FF009BD3"/>
      </bottom>
      <diagonal/>
    </border>
    <border>
      <left style="thin">
        <color indexed="64"/>
      </left>
      <right/>
      <top/>
      <bottom style="thin">
        <color theme="0" tint="-0.14996795556505021"/>
      </bottom>
      <diagonal/>
    </border>
    <border>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ck">
        <color rgb="FF009BD3"/>
      </bottom>
      <diagonal/>
    </border>
    <border>
      <left/>
      <right/>
      <top style="thin">
        <color theme="0" tint="-0.14996795556505021"/>
      </top>
      <bottom style="thick">
        <color rgb="FF009BD3"/>
      </bottom>
      <diagonal/>
    </border>
    <border>
      <left style="thick">
        <color theme="0" tint="-0.14996795556505021"/>
      </left>
      <right/>
      <top style="thick">
        <color rgb="FF009BD3"/>
      </top>
      <bottom style="medium">
        <color theme="0" tint="-0.14996795556505021"/>
      </bottom>
      <diagonal/>
    </border>
    <border>
      <left style="thick">
        <color theme="0" tint="-0.14996795556505021"/>
      </left>
      <right/>
      <top style="medium">
        <color theme="0" tint="-0.14996795556505021"/>
      </top>
      <bottom style="medium">
        <color theme="0" tint="-0.14996795556505021"/>
      </bottom>
      <diagonal/>
    </border>
    <border>
      <left style="thick">
        <color theme="0" tint="-0.14996795556505021"/>
      </left>
      <right/>
      <top style="medium">
        <color theme="0" tint="-0.14996795556505021"/>
      </top>
      <bottom style="thick">
        <color rgb="FF009BD3"/>
      </bottom>
      <diagonal/>
    </border>
    <border>
      <left style="thick">
        <color theme="2" tint="-9.9978637043366805E-2"/>
      </left>
      <right/>
      <top/>
      <bottom/>
      <diagonal/>
    </border>
    <border>
      <left/>
      <right/>
      <top style="thin">
        <color indexed="55"/>
      </top>
      <bottom style="thick">
        <color rgb="FF0070C0"/>
      </bottom>
      <diagonal/>
    </border>
    <border>
      <left style="thick">
        <color rgb="FFD8D8D8"/>
      </left>
      <right/>
      <top style="thick">
        <color rgb="FF009BD3"/>
      </top>
      <bottom/>
      <diagonal/>
    </border>
    <border>
      <left style="thick">
        <color theme="0" tint="-0.14990691854609822"/>
      </left>
      <right/>
      <top style="thick">
        <color rgb="FF009BD3"/>
      </top>
      <bottom/>
      <diagonal/>
    </border>
    <border>
      <left/>
      <right/>
      <top style="medium">
        <color theme="0" tint="-0.14996795556505021"/>
      </top>
      <bottom/>
      <diagonal/>
    </border>
    <border>
      <left style="thick">
        <color rgb="FF009BD3"/>
      </left>
      <right style="thick">
        <color theme="0" tint="-0.14990691854609822"/>
      </right>
      <top style="thick">
        <color rgb="FF009BD3"/>
      </top>
      <bottom/>
      <diagonal/>
    </border>
    <border>
      <left style="thick">
        <color rgb="FF009BD3"/>
      </left>
      <right style="thick">
        <color theme="0" tint="-0.14990691854609822"/>
      </right>
      <top/>
      <bottom/>
      <diagonal/>
    </border>
    <border>
      <left style="thick">
        <color rgb="FF009BD3"/>
      </left>
      <right style="thick">
        <color theme="0" tint="-0.14990691854609822"/>
      </right>
      <top/>
      <bottom style="thick">
        <color rgb="FF009BD3"/>
      </bottom>
      <diagonal/>
    </border>
    <border>
      <left style="thick">
        <color rgb="FF009BD3"/>
      </left>
      <right style="thick">
        <color rgb="FFD8D8D8"/>
      </right>
      <top style="thick">
        <color rgb="FF009BD3"/>
      </top>
      <bottom/>
      <diagonal/>
    </border>
    <border>
      <left style="thick">
        <color rgb="FF009BD3"/>
      </left>
      <right style="thick">
        <color rgb="FFD8D8D8"/>
      </right>
      <top/>
      <bottom/>
      <diagonal/>
    </border>
    <border>
      <left style="thick">
        <color rgb="FF009BD3"/>
      </left>
      <right style="thick">
        <color rgb="FFD8D8D8"/>
      </right>
      <top/>
      <bottom style="thick">
        <color rgb="FF0071B9"/>
      </bottom>
      <diagonal/>
    </border>
    <border>
      <left style="thick">
        <color rgb="FF009BD3"/>
      </left>
      <right style="thick">
        <color rgb="FFD8D8D8"/>
      </right>
      <top style="thick">
        <color rgb="FF0071B9"/>
      </top>
      <bottom/>
      <diagonal/>
    </border>
    <border>
      <left style="thick">
        <color rgb="FF009BD3"/>
      </left>
      <right style="thick">
        <color rgb="FFD8D8D8"/>
      </right>
      <top/>
      <bottom style="thick">
        <color rgb="FF009BD3"/>
      </bottom>
      <diagonal/>
    </border>
    <border>
      <left style="thick">
        <color rgb="FF009BD3"/>
      </left>
      <right style="thick">
        <color theme="0" tint="-0.14996795556505021"/>
      </right>
      <top style="thick">
        <color rgb="FF009BD3"/>
      </top>
      <bottom style="thick">
        <color rgb="FF009BD3"/>
      </bottom>
      <diagonal/>
    </border>
    <border>
      <left style="thick">
        <color rgb="FF009BD3"/>
      </left>
      <right/>
      <top style="thick">
        <color rgb="FF009BD3"/>
      </top>
      <bottom/>
      <diagonal/>
    </border>
    <border>
      <left style="thick">
        <color rgb="FF009BD3"/>
      </left>
      <right/>
      <top/>
      <bottom/>
      <diagonal/>
    </border>
    <border>
      <left style="thick">
        <color rgb="FF009BD3"/>
      </left>
      <right/>
      <top/>
      <bottom style="thick">
        <color rgb="FF009BD3"/>
      </bottom>
      <diagonal/>
    </border>
  </borders>
  <cellStyleXfs count="6">
    <xf numFmtId="0" fontId="0" fillId="0" borderId="0"/>
    <xf numFmtId="0" fontId="32" fillId="0" borderId="0" applyNumberFormat="0" applyFill="0" applyBorder="0" applyAlignment="0" applyProtection="0"/>
    <xf numFmtId="164" fontId="31" fillId="0" borderId="0" applyFont="0" applyFill="0" applyBorder="0" applyAlignment="0" applyProtection="0"/>
    <xf numFmtId="44" fontId="31" fillId="0" borderId="0" applyFont="0" applyFill="0" applyBorder="0" applyAlignment="0" applyProtection="0"/>
    <xf numFmtId="0" fontId="2" fillId="0" borderId="0"/>
    <xf numFmtId="9" fontId="31" fillId="0" borderId="0" applyFont="0" applyFill="0" applyBorder="0" applyAlignment="0" applyProtection="0"/>
  </cellStyleXfs>
  <cellXfs count="359">
    <xf numFmtId="0" fontId="0" fillId="0" borderId="0" xfId="0"/>
    <xf numFmtId="0" fontId="1" fillId="3" borderId="0" xfId="0" applyFont="1" applyFill="1" applyAlignment="1">
      <alignment horizontal="center"/>
    </xf>
    <xf numFmtId="0" fontId="1" fillId="3" borderId="0" xfId="0" applyFont="1" applyFill="1"/>
    <xf numFmtId="0" fontId="33" fillId="4" borderId="0" xfId="4" applyFont="1" applyFill="1" applyAlignment="1">
      <alignment vertical="center"/>
    </xf>
    <xf numFmtId="0" fontId="34" fillId="4" borderId="0" xfId="4" applyFont="1" applyFill="1" applyAlignment="1">
      <alignment vertical="center"/>
    </xf>
    <xf numFmtId="0" fontId="34" fillId="3" borderId="0" xfId="4" applyFont="1" applyFill="1" applyAlignment="1">
      <alignment vertical="center"/>
    </xf>
    <xf numFmtId="0" fontId="3" fillId="3" borderId="0" xfId="4" applyFont="1" applyFill="1" applyAlignment="1">
      <alignment vertical="center"/>
    </xf>
    <xf numFmtId="0" fontId="3" fillId="3" borderId="0" xfId="4" applyFont="1" applyFill="1"/>
    <xf numFmtId="0" fontId="3" fillId="3" borderId="0" xfId="4" applyFont="1" applyFill="1" applyAlignment="1">
      <alignment horizontal="center"/>
    </xf>
    <xf numFmtId="0" fontId="1" fillId="3" borderId="0" xfId="0" applyFont="1" applyFill="1" applyAlignment="1">
      <alignment horizontal="center" vertical="center"/>
    </xf>
    <xf numFmtId="0" fontId="1" fillId="5" borderId="35" xfId="0" applyFont="1" applyFill="1" applyBorder="1" applyAlignment="1">
      <alignment vertical="center"/>
    </xf>
    <xf numFmtId="0" fontId="6" fillId="5" borderId="36" xfId="0" applyFont="1" applyFill="1" applyBorder="1" applyAlignment="1">
      <alignment horizontal="right" vertical="center"/>
    </xf>
    <xf numFmtId="0" fontId="1" fillId="3" borderId="0" xfId="0" applyFont="1" applyFill="1" applyAlignment="1">
      <alignment vertical="center"/>
    </xf>
    <xf numFmtId="0" fontId="6" fillId="5" borderId="36" xfId="0" applyFont="1" applyFill="1" applyBorder="1" applyAlignment="1">
      <alignment horizontal="center" vertical="center"/>
    </xf>
    <xf numFmtId="0" fontId="7" fillId="3" borderId="0" xfId="4" applyFont="1" applyFill="1"/>
    <xf numFmtId="0" fontId="3" fillId="3" borderId="0" xfId="4" applyFont="1" applyFill="1" applyAlignment="1">
      <alignment horizontal="center" vertical="center" wrapText="1"/>
    </xf>
    <xf numFmtId="0" fontId="8" fillId="6" borderId="37" xfId="4" applyFont="1" applyFill="1" applyBorder="1" applyAlignment="1">
      <alignment horizontal="left" vertical="center"/>
    </xf>
    <xf numFmtId="0" fontId="8" fillId="6" borderId="38" xfId="4" applyFont="1" applyFill="1" applyBorder="1" applyAlignment="1">
      <alignment vertical="center"/>
    </xf>
    <xf numFmtId="3" fontId="8" fillId="6" borderId="38" xfId="2" applyNumberFormat="1" applyFont="1" applyFill="1" applyBorder="1" applyAlignment="1">
      <alignment vertical="center"/>
    </xf>
    <xf numFmtId="0" fontId="3" fillId="3" borderId="0" xfId="4" applyFont="1" applyFill="1" applyAlignment="1">
      <alignment horizontal="left" vertical="center"/>
    </xf>
    <xf numFmtId="0" fontId="3" fillId="3" borderId="39" xfId="4" applyFont="1" applyFill="1" applyBorder="1" applyAlignment="1">
      <alignment horizontal="right" vertical="center"/>
    </xf>
    <xf numFmtId="3" fontId="3" fillId="3" borderId="39" xfId="2" applyNumberFormat="1" applyFont="1" applyFill="1" applyBorder="1" applyAlignment="1">
      <alignment vertical="center"/>
    </xf>
    <xf numFmtId="0" fontId="3" fillId="3" borderId="40" xfId="4" applyFont="1" applyFill="1" applyBorder="1" applyAlignment="1">
      <alignment horizontal="right" vertical="center"/>
    </xf>
    <xf numFmtId="3" fontId="3" fillId="3" borderId="40" xfId="2" applyNumberFormat="1" applyFont="1" applyFill="1" applyBorder="1" applyAlignment="1">
      <alignment vertical="center"/>
    </xf>
    <xf numFmtId="0" fontId="3" fillId="3" borderId="39" xfId="4" applyFont="1" applyFill="1" applyBorder="1" applyAlignment="1">
      <alignment horizontal="left" vertical="center"/>
    </xf>
    <xf numFmtId="0" fontId="8" fillId="7" borderId="1" xfId="4" applyFont="1" applyFill="1" applyBorder="1" applyAlignment="1">
      <alignment vertical="center"/>
    </xf>
    <xf numFmtId="0" fontId="8" fillId="6" borderId="1" xfId="4" applyFont="1" applyFill="1" applyBorder="1" applyAlignment="1">
      <alignment vertical="center"/>
    </xf>
    <xf numFmtId="3" fontId="8" fillId="6" borderId="0" xfId="2" applyNumberFormat="1" applyFont="1" applyFill="1" applyBorder="1" applyAlignment="1">
      <alignment vertical="center"/>
    </xf>
    <xf numFmtId="3" fontId="8" fillId="8" borderId="2" xfId="4" applyNumberFormat="1" applyFont="1" applyFill="1" applyBorder="1" applyAlignment="1">
      <alignment horizontal="left" vertical="center"/>
    </xf>
    <xf numFmtId="0" fontId="3" fillId="8" borderId="2" xfId="4" applyFont="1" applyFill="1" applyBorder="1" applyAlignment="1">
      <alignment vertical="center"/>
    </xf>
    <xf numFmtId="3" fontId="8" fillId="8" borderId="2" xfId="4" applyNumberFormat="1" applyFont="1" applyFill="1" applyBorder="1" applyAlignment="1">
      <alignment vertical="center"/>
    </xf>
    <xf numFmtId="3" fontId="1" fillId="3" borderId="0" xfId="0" applyNumberFormat="1" applyFont="1" applyFill="1" applyAlignment="1">
      <alignment vertical="center"/>
    </xf>
    <xf numFmtId="3" fontId="3" fillId="3" borderId="40" xfId="4" applyNumberFormat="1" applyFont="1" applyFill="1" applyBorder="1" applyAlignment="1">
      <alignment horizontal="right" vertical="center"/>
    </xf>
    <xf numFmtId="164" fontId="3" fillId="3" borderId="40" xfId="2" applyFont="1" applyFill="1" applyBorder="1" applyAlignment="1">
      <alignment vertical="center"/>
    </xf>
    <xf numFmtId="165" fontId="3" fillId="3" borderId="40" xfId="2" applyNumberFormat="1" applyFont="1" applyFill="1" applyBorder="1" applyAlignment="1">
      <alignment vertical="center"/>
    </xf>
    <xf numFmtId="165" fontId="3" fillId="3" borderId="40" xfId="2" applyNumberFormat="1" applyFont="1" applyFill="1" applyBorder="1" applyAlignment="1">
      <alignment horizontal="right" vertical="center"/>
    </xf>
    <xf numFmtId="0" fontId="2" fillId="3" borderId="0" xfId="4" applyFill="1" applyAlignment="1">
      <alignment vertical="center"/>
    </xf>
    <xf numFmtId="0" fontId="1" fillId="9" borderId="41" xfId="0" applyFont="1" applyFill="1" applyBorder="1" applyAlignment="1">
      <alignment vertical="center"/>
    </xf>
    <xf numFmtId="0" fontId="1" fillId="3" borderId="41" xfId="0" applyFont="1" applyFill="1" applyBorder="1" applyAlignment="1">
      <alignment vertical="center"/>
    </xf>
    <xf numFmtId="3" fontId="1" fillId="3" borderId="41" xfId="0" applyNumberFormat="1" applyFont="1" applyFill="1" applyBorder="1" applyAlignment="1">
      <alignment vertical="center"/>
    </xf>
    <xf numFmtId="0" fontId="8" fillId="6" borderId="42" xfId="4" applyFont="1" applyFill="1" applyBorder="1" applyAlignment="1">
      <alignment horizontal="left" vertical="center"/>
    </xf>
    <xf numFmtId="0" fontId="8" fillId="6" borderId="43" xfId="4" applyFont="1" applyFill="1" applyBorder="1" applyAlignment="1">
      <alignment vertical="center"/>
    </xf>
    <xf numFmtId="3" fontId="8" fillId="6" borderId="43" xfId="2" applyNumberFormat="1" applyFont="1" applyFill="1" applyBorder="1" applyAlignment="1">
      <alignment vertical="center"/>
    </xf>
    <xf numFmtId="0" fontId="6" fillId="3" borderId="0" xfId="0" applyFont="1" applyFill="1" applyAlignment="1">
      <alignment vertical="center"/>
    </xf>
    <xf numFmtId="0" fontId="8" fillId="8" borderId="2" xfId="4" applyFont="1" applyFill="1" applyBorder="1" applyAlignment="1">
      <alignment vertical="center"/>
    </xf>
    <xf numFmtId="0" fontId="8" fillId="7" borderId="0" xfId="4" applyFont="1" applyFill="1" applyAlignment="1">
      <alignment vertical="center"/>
    </xf>
    <xf numFmtId="0" fontId="1" fillId="3" borderId="44" xfId="0" applyFont="1" applyFill="1" applyBorder="1"/>
    <xf numFmtId="0" fontId="9" fillId="3" borderId="0" xfId="0" applyFont="1" applyFill="1"/>
    <xf numFmtId="0" fontId="10" fillId="3" borderId="0" xfId="4" applyFont="1" applyFill="1" applyAlignment="1">
      <alignment vertical="center"/>
    </xf>
    <xf numFmtId="0" fontId="11" fillId="3" borderId="0" xfId="0" applyFont="1" applyFill="1"/>
    <xf numFmtId="0" fontId="1" fillId="3" borderId="0" xfId="0" applyFont="1" applyFill="1" applyAlignment="1">
      <alignment wrapText="1"/>
    </xf>
    <xf numFmtId="0" fontId="1" fillId="3" borderId="0" xfId="0" applyFont="1" applyFill="1" applyAlignment="1">
      <alignment horizontal="center" wrapText="1"/>
    </xf>
    <xf numFmtId="0" fontId="32" fillId="3" borderId="0" xfId="1" applyFill="1" applyAlignment="1">
      <alignment wrapText="1"/>
    </xf>
    <xf numFmtId="0" fontId="6" fillId="5" borderId="35" xfId="0" applyFont="1" applyFill="1" applyBorder="1" applyAlignment="1">
      <alignment horizontal="right" vertical="center"/>
    </xf>
    <xf numFmtId="0" fontId="3" fillId="3" borderId="0" xfId="0" applyFont="1" applyFill="1"/>
    <xf numFmtId="0" fontId="3" fillId="3" borderId="40" xfId="0" applyFont="1" applyFill="1" applyBorder="1"/>
    <xf numFmtId="167" fontId="3" fillId="3" borderId="40" xfId="0" applyNumberFormat="1" applyFont="1" applyFill="1" applyBorder="1"/>
    <xf numFmtId="0" fontId="3" fillId="3" borderId="44" xfId="0" applyFont="1" applyFill="1" applyBorder="1"/>
    <xf numFmtId="9" fontId="3" fillId="3" borderId="44" xfId="5" applyFont="1" applyFill="1" applyBorder="1"/>
    <xf numFmtId="167" fontId="3" fillId="3" borderId="0" xfId="0" applyNumberFormat="1" applyFont="1" applyFill="1" applyBorder="1"/>
    <xf numFmtId="0" fontId="3" fillId="3" borderId="0" xfId="0" applyFont="1" applyFill="1" applyBorder="1"/>
    <xf numFmtId="0" fontId="4" fillId="3" borderId="0" xfId="4" applyFont="1" applyFill="1" applyBorder="1" applyAlignment="1">
      <alignment horizontal="center" vertical="center"/>
    </xf>
    <xf numFmtId="0" fontId="6" fillId="3" borderId="0" xfId="0" applyFont="1" applyFill="1" applyBorder="1" applyAlignment="1">
      <alignment horizontal="right" vertical="center"/>
    </xf>
    <xf numFmtId="0" fontId="8" fillId="3" borderId="0" xfId="0" applyFont="1" applyFill="1" applyAlignment="1">
      <alignment vertical="center" textRotation="255"/>
    </xf>
    <xf numFmtId="0" fontId="8" fillId="3" borderId="0" xfId="0" applyFont="1" applyFill="1" applyAlignment="1">
      <alignment vertical="center"/>
    </xf>
    <xf numFmtId="0" fontId="14" fillId="3" borderId="0" xfId="0" applyFont="1" applyFill="1" applyAlignment="1">
      <alignment vertical="center"/>
    </xf>
    <xf numFmtId="0" fontId="3" fillId="3" borderId="0" xfId="0" applyFont="1" applyFill="1" applyAlignment="1">
      <alignment vertical="center"/>
    </xf>
    <xf numFmtId="0" fontId="3" fillId="3" borderId="38" xfId="0" applyFont="1" applyFill="1" applyBorder="1" applyAlignment="1">
      <alignment vertical="center"/>
    </xf>
    <xf numFmtId="6" fontId="3" fillId="3" borderId="38" xfId="0" applyNumberFormat="1" applyFont="1" applyFill="1" applyBorder="1" applyAlignment="1">
      <alignment vertical="center"/>
    </xf>
    <xf numFmtId="0" fontId="3" fillId="3" borderId="40" xfId="0" applyFont="1" applyFill="1" applyBorder="1" applyAlignment="1">
      <alignment vertical="center"/>
    </xf>
    <xf numFmtId="6" fontId="3" fillId="3" borderId="40" xfId="0" applyNumberFormat="1" applyFont="1" applyFill="1" applyBorder="1" applyAlignment="1">
      <alignment vertical="center"/>
    </xf>
    <xf numFmtId="0" fontId="8" fillId="8" borderId="45" xfId="0" applyFont="1" applyFill="1" applyBorder="1" applyAlignment="1">
      <alignment vertical="center"/>
    </xf>
    <xf numFmtId="0" fontId="3" fillId="8" borderId="45" xfId="0" applyFont="1" applyFill="1" applyBorder="1" applyAlignment="1">
      <alignment vertical="center"/>
    </xf>
    <xf numFmtId="168" fontId="8" fillId="8" borderId="45" xfId="0" applyNumberFormat="1" applyFont="1" applyFill="1" applyBorder="1" applyAlignment="1">
      <alignment vertical="center"/>
    </xf>
    <xf numFmtId="0" fontId="3" fillId="3" borderId="46" xfId="0" applyFont="1" applyFill="1" applyBorder="1" applyAlignment="1">
      <alignment vertical="center"/>
    </xf>
    <xf numFmtId="0" fontId="3" fillId="3" borderId="39" xfId="0" applyFont="1" applyFill="1" applyBorder="1" applyAlignment="1">
      <alignment vertical="center"/>
    </xf>
    <xf numFmtId="6" fontId="3" fillId="3" borderId="39" xfId="0" applyNumberFormat="1" applyFont="1" applyFill="1" applyBorder="1" applyAlignment="1">
      <alignment vertical="center"/>
    </xf>
    <xf numFmtId="0" fontId="3" fillId="3" borderId="47" xfId="0" applyFont="1" applyFill="1" applyBorder="1" applyAlignment="1">
      <alignment vertical="center"/>
    </xf>
    <xf numFmtId="0" fontId="8" fillId="8" borderId="48" xfId="0" applyFont="1" applyFill="1" applyBorder="1" applyAlignment="1">
      <alignment vertical="center"/>
    </xf>
    <xf numFmtId="0" fontId="3" fillId="3" borderId="49" xfId="0" applyFont="1" applyFill="1" applyBorder="1" applyAlignment="1">
      <alignment vertical="center"/>
    </xf>
    <xf numFmtId="0" fontId="3" fillId="3" borderId="50" xfId="0" applyFont="1" applyFill="1" applyBorder="1" applyAlignment="1">
      <alignment vertical="center"/>
    </xf>
    <xf numFmtId="6" fontId="3" fillId="3" borderId="50" xfId="0" applyNumberFormat="1" applyFont="1" applyFill="1" applyBorder="1" applyAlignment="1">
      <alignment vertical="center"/>
    </xf>
    <xf numFmtId="0" fontId="3" fillId="3" borderId="51" xfId="0" applyFont="1" applyFill="1" applyBorder="1" applyAlignment="1">
      <alignment vertical="center"/>
    </xf>
    <xf numFmtId="0" fontId="3" fillId="3" borderId="52" xfId="0" applyFont="1" applyFill="1" applyBorder="1" applyAlignment="1">
      <alignment vertical="center"/>
    </xf>
    <xf numFmtId="6" fontId="3" fillId="3" borderId="52" xfId="0" applyNumberFormat="1" applyFont="1" applyFill="1" applyBorder="1" applyAlignment="1">
      <alignment vertical="center"/>
    </xf>
    <xf numFmtId="0" fontId="8" fillId="8" borderId="53" xfId="0" applyFont="1" applyFill="1" applyBorder="1" applyAlignment="1">
      <alignment vertical="center"/>
    </xf>
    <xf numFmtId="0" fontId="3" fillId="8" borderId="54" xfId="0" applyFont="1" applyFill="1" applyBorder="1" applyAlignment="1">
      <alignment vertical="center"/>
    </xf>
    <xf numFmtId="168" fontId="8" fillId="8" borderId="54" xfId="0" applyNumberFormat="1" applyFont="1" applyFill="1" applyBorder="1" applyAlignment="1">
      <alignment vertical="center"/>
    </xf>
    <xf numFmtId="0" fontId="8" fillId="3" borderId="0" xfId="0" applyFont="1" applyFill="1" applyAlignment="1">
      <alignment vertical="center" textRotation="255" wrapText="1"/>
    </xf>
    <xf numFmtId="0" fontId="1" fillId="3" borderId="0" xfId="0" applyFont="1" applyFill="1" applyBorder="1"/>
    <xf numFmtId="170" fontId="3" fillId="3" borderId="38" xfId="0" applyNumberFormat="1" applyFont="1" applyFill="1" applyBorder="1" applyAlignment="1">
      <alignment vertical="center"/>
    </xf>
    <xf numFmtId="170" fontId="3" fillId="3" borderId="40" xfId="0" applyNumberFormat="1" applyFont="1" applyFill="1" applyBorder="1" applyAlignment="1">
      <alignment vertical="center"/>
    </xf>
    <xf numFmtId="170" fontId="8" fillId="8" borderId="45" xfId="0" applyNumberFormat="1" applyFont="1" applyFill="1" applyBorder="1" applyAlignment="1">
      <alignment vertical="center"/>
    </xf>
    <xf numFmtId="37" fontId="3" fillId="3" borderId="38" xfId="0" applyNumberFormat="1" applyFont="1" applyFill="1" applyBorder="1" applyAlignment="1">
      <alignment vertical="center"/>
    </xf>
    <xf numFmtId="170" fontId="3" fillId="3" borderId="39" xfId="0" applyNumberFormat="1" applyFont="1" applyFill="1" applyBorder="1" applyAlignment="1">
      <alignment vertical="center"/>
    </xf>
    <xf numFmtId="170" fontId="3" fillId="3" borderId="50" xfId="0" applyNumberFormat="1" applyFont="1" applyFill="1" applyBorder="1" applyAlignment="1">
      <alignment vertical="center"/>
    </xf>
    <xf numFmtId="170" fontId="3" fillId="3" borderId="52" xfId="0" applyNumberFormat="1" applyFont="1" applyFill="1" applyBorder="1" applyAlignment="1">
      <alignment vertical="center"/>
    </xf>
    <xf numFmtId="170" fontId="8" fillId="8" borderId="54" xfId="0" applyNumberFormat="1" applyFont="1" applyFill="1" applyBorder="1" applyAlignment="1">
      <alignment vertical="center"/>
    </xf>
    <xf numFmtId="0" fontId="8" fillId="3" borderId="0" xfId="0" applyFont="1" applyFill="1"/>
    <xf numFmtId="3" fontId="3" fillId="3" borderId="0" xfId="0" applyNumberFormat="1" applyFont="1" applyFill="1"/>
    <xf numFmtId="0" fontId="3" fillId="3" borderId="55" xfId="0" applyFont="1" applyFill="1" applyBorder="1" applyAlignment="1">
      <alignment vertical="center"/>
    </xf>
    <xf numFmtId="3" fontId="3" fillId="3" borderId="38" xfId="2" applyNumberFormat="1" applyFont="1" applyFill="1" applyBorder="1" applyAlignment="1">
      <alignment vertical="center"/>
    </xf>
    <xf numFmtId="0" fontId="3" fillId="3" borderId="56" xfId="0" applyFont="1" applyFill="1" applyBorder="1" applyAlignment="1">
      <alignment horizontal="left" vertical="center"/>
    </xf>
    <xf numFmtId="0" fontId="8" fillId="8" borderId="56" xfId="0" applyFont="1" applyFill="1" applyBorder="1" applyAlignment="1">
      <alignment horizontal="left" vertical="center"/>
    </xf>
    <xf numFmtId="0" fontId="3" fillId="8" borderId="40" xfId="0" applyFont="1" applyFill="1" applyBorder="1" applyAlignment="1">
      <alignment vertical="center"/>
    </xf>
    <xf numFmtId="3" fontId="8" fillId="8" borderId="40" xfId="2" applyNumberFormat="1" applyFont="1" applyFill="1" applyBorder="1" applyAlignment="1">
      <alignment vertical="center"/>
    </xf>
    <xf numFmtId="0" fontId="3" fillId="6" borderId="57" xfId="0" applyFont="1" applyFill="1" applyBorder="1" applyAlignment="1">
      <alignment horizontal="left" vertical="center"/>
    </xf>
    <xf numFmtId="0" fontId="3" fillId="6" borderId="45" xfId="0" applyFont="1" applyFill="1" applyBorder="1" applyAlignment="1">
      <alignment vertical="center"/>
    </xf>
    <xf numFmtId="3" fontId="3" fillId="6" borderId="45" xfId="2" applyNumberFormat="1" applyFont="1" applyFill="1" applyBorder="1" applyAlignment="1">
      <alignment vertical="center"/>
    </xf>
    <xf numFmtId="3" fontId="3" fillId="6" borderId="45" xfId="2" applyNumberFormat="1" applyFont="1" applyFill="1" applyBorder="1" applyAlignment="1">
      <alignment horizontal="right" vertical="center"/>
    </xf>
    <xf numFmtId="166" fontId="3" fillId="3" borderId="0" xfId="2" applyNumberFormat="1" applyFont="1" applyFill="1"/>
    <xf numFmtId="0" fontId="3" fillId="3" borderId="55" xfId="0" applyFont="1" applyFill="1" applyBorder="1" applyAlignment="1">
      <alignment horizontal="left" vertical="center"/>
    </xf>
    <xf numFmtId="0" fontId="8" fillId="8" borderId="57" xfId="0" applyFont="1" applyFill="1" applyBorder="1" applyAlignment="1">
      <alignment horizontal="left" vertical="center"/>
    </xf>
    <xf numFmtId="3" fontId="8" fillId="8" borderId="45" xfId="2" applyNumberFormat="1" applyFont="1" applyFill="1" applyBorder="1" applyAlignment="1">
      <alignment vertical="center"/>
    </xf>
    <xf numFmtId="166" fontId="3" fillId="3" borderId="0" xfId="0" applyNumberFormat="1" applyFont="1" applyFill="1"/>
    <xf numFmtId="0" fontId="3" fillId="3" borderId="58" xfId="4" applyFont="1" applyFill="1" applyBorder="1" applyAlignment="1">
      <alignment horizontal="left" vertical="center"/>
    </xf>
    <xf numFmtId="3" fontId="3" fillId="3" borderId="0" xfId="0" applyNumberFormat="1" applyFont="1" applyFill="1" applyAlignment="1">
      <alignment vertical="center"/>
    </xf>
    <xf numFmtId="0" fontId="3" fillId="3" borderId="58" xfId="4" applyFont="1" applyFill="1" applyBorder="1" applyAlignment="1">
      <alignment vertical="center"/>
    </xf>
    <xf numFmtId="3" fontId="8" fillId="8" borderId="59" xfId="4" applyNumberFormat="1" applyFont="1" applyFill="1" applyBorder="1" applyAlignment="1">
      <alignment horizontal="left" vertical="center"/>
    </xf>
    <xf numFmtId="0" fontId="8" fillId="8" borderId="59" xfId="4" applyFont="1" applyFill="1" applyBorder="1" applyAlignment="1">
      <alignment vertical="center"/>
    </xf>
    <xf numFmtId="3" fontId="8" fillId="8" borderId="59" xfId="4" applyNumberFormat="1" applyFont="1" applyFill="1" applyBorder="1" applyAlignment="1">
      <alignment vertical="center"/>
    </xf>
    <xf numFmtId="0" fontId="8" fillId="0" borderId="38" xfId="4" applyFont="1" applyFill="1" applyBorder="1" applyAlignment="1">
      <alignment vertical="center"/>
    </xf>
    <xf numFmtId="3" fontId="3" fillId="0" borderId="38" xfId="2" applyNumberFormat="1" applyFont="1" applyFill="1" applyBorder="1" applyAlignment="1">
      <alignment vertical="center"/>
    </xf>
    <xf numFmtId="0" fontId="1" fillId="0" borderId="0" xfId="0" applyFont="1" applyFill="1" applyAlignment="1">
      <alignment vertical="center"/>
    </xf>
    <xf numFmtId="0" fontId="6" fillId="0" borderId="0" xfId="0" applyFont="1" applyFill="1" applyAlignment="1">
      <alignment vertical="center"/>
    </xf>
    <xf numFmtId="0" fontId="3" fillId="0" borderId="60" xfId="4" applyFont="1" applyFill="1" applyBorder="1" applyAlignment="1">
      <alignment horizontal="left" vertical="center"/>
    </xf>
    <xf numFmtId="0" fontId="3" fillId="0" borderId="61" xfId="4" applyFont="1" applyFill="1" applyBorder="1" applyAlignment="1">
      <alignment horizontal="left" vertical="center"/>
    </xf>
    <xf numFmtId="3" fontId="3" fillId="3" borderId="58" xfId="4" applyNumberFormat="1" applyFont="1" applyFill="1" applyBorder="1" applyAlignment="1"/>
    <xf numFmtId="3" fontId="3" fillId="3" borderId="3" xfId="4" applyNumberFormat="1" applyFont="1" applyFill="1" applyBorder="1" applyAlignment="1">
      <alignment horizontal="right"/>
    </xf>
    <xf numFmtId="3" fontId="3" fillId="3" borderId="0" xfId="0" applyNumberFormat="1" applyFont="1" applyFill="1" applyAlignment="1"/>
    <xf numFmtId="3" fontId="3" fillId="3" borderId="40" xfId="2" applyNumberFormat="1" applyFont="1" applyFill="1" applyBorder="1" applyAlignment="1"/>
    <xf numFmtId="0" fontId="1" fillId="3" borderId="0" xfId="0" applyFont="1" applyFill="1" applyAlignment="1"/>
    <xf numFmtId="3" fontId="3" fillId="3" borderId="39" xfId="2" applyNumberFormat="1" applyFont="1" applyFill="1" applyBorder="1" applyAlignment="1"/>
    <xf numFmtId="0" fontId="35" fillId="3" borderId="0" xfId="0" applyFont="1" applyFill="1"/>
    <xf numFmtId="0" fontId="36" fillId="3" borderId="0" xfId="0" applyFont="1" applyFill="1"/>
    <xf numFmtId="169" fontId="37" fillId="3" borderId="0" xfId="3" applyNumberFormat="1" applyFont="1" applyFill="1" applyBorder="1" applyAlignment="1">
      <alignment horizontal="right" vertical="center" indent="3"/>
    </xf>
    <xf numFmtId="0" fontId="38" fillId="3" borderId="0" xfId="0" applyFont="1" applyFill="1" applyBorder="1" applyAlignment="1">
      <alignment vertical="center"/>
    </xf>
    <xf numFmtId="166" fontId="38" fillId="3" borderId="0" xfId="2" applyNumberFormat="1" applyFont="1" applyFill="1" applyBorder="1" applyAlignment="1">
      <alignment horizontal="center" vertical="center"/>
    </xf>
    <xf numFmtId="0" fontId="0" fillId="3" borderId="0" xfId="0" applyFill="1" applyBorder="1"/>
    <xf numFmtId="166" fontId="39" fillId="3" borderId="0" xfId="2" applyNumberFormat="1" applyFont="1" applyFill="1" applyBorder="1" applyAlignment="1">
      <alignment horizontal="center" vertical="center"/>
    </xf>
    <xf numFmtId="9" fontId="40" fillId="3" borderId="0" xfId="5" applyFont="1" applyFill="1" applyBorder="1" applyAlignment="1">
      <alignment horizontal="center"/>
    </xf>
    <xf numFmtId="166" fontId="41" fillId="3" borderId="0" xfId="2" applyNumberFormat="1" applyFont="1" applyFill="1" applyBorder="1" applyAlignment="1">
      <alignment horizontal="center" vertical="center"/>
    </xf>
    <xf numFmtId="166" fontId="0" fillId="3" borderId="0" xfId="0" applyNumberFormat="1" applyFill="1" applyBorder="1"/>
    <xf numFmtId="0" fontId="4" fillId="3" borderId="4" xfId="0" applyFont="1" applyFill="1" applyBorder="1" applyAlignment="1">
      <alignment horizontal="left" vertical="center"/>
    </xf>
    <xf numFmtId="0" fontId="12" fillId="3" borderId="5" xfId="0" applyFont="1" applyFill="1" applyBorder="1" applyAlignment="1">
      <alignment horizontal="right" vertical="center"/>
    </xf>
    <xf numFmtId="0" fontId="20" fillId="5" borderId="36" xfId="0" applyFont="1" applyFill="1" applyBorder="1" applyAlignment="1">
      <alignment horizontal="center" vertical="center"/>
    </xf>
    <xf numFmtId="0" fontId="12" fillId="3" borderId="0" xfId="4" applyFont="1" applyFill="1" applyAlignment="1">
      <alignment horizontal="center" vertical="center" wrapText="1"/>
    </xf>
    <xf numFmtId="171" fontId="21" fillId="6" borderId="38" xfId="5" applyNumberFormat="1" applyFont="1" applyFill="1" applyBorder="1" applyAlignment="1">
      <alignment vertical="center"/>
    </xf>
    <xf numFmtId="171" fontId="12" fillId="3" borderId="40" xfId="5" applyNumberFormat="1" applyFont="1" applyFill="1" applyBorder="1" applyAlignment="1">
      <alignment horizontal="right" vertical="center"/>
    </xf>
    <xf numFmtId="171" fontId="21" fillId="6" borderId="0" xfId="5" applyNumberFormat="1" applyFont="1" applyFill="1" applyBorder="1" applyAlignment="1">
      <alignment vertical="center"/>
    </xf>
    <xf numFmtId="171" fontId="21" fillId="8" borderId="2" xfId="5" applyNumberFormat="1" applyFont="1" applyFill="1" applyBorder="1" applyAlignment="1">
      <alignment vertical="center"/>
    </xf>
    <xf numFmtId="171" fontId="22" fillId="3" borderId="0" xfId="5" applyNumberFormat="1" applyFont="1" applyFill="1" applyAlignment="1">
      <alignment vertical="center"/>
    </xf>
    <xf numFmtId="171" fontId="22" fillId="3" borderId="41" xfId="5" applyNumberFormat="1" applyFont="1" applyFill="1" applyBorder="1" applyAlignment="1">
      <alignment vertical="center"/>
    </xf>
    <xf numFmtId="171" fontId="21" fillId="6" borderId="43" xfId="5" applyNumberFormat="1" applyFont="1" applyFill="1" applyBorder="1" applyAlignment="1">
      <alignment vertical="center"/>
    </xf>
    <xf numFmtId="171" fontId="12" fillId="3" borderId="40" xfId="5" applyNumberFormat="1" applyFont="1" applyFill="1" applyBorder="1" applyAlignment="1">
      <alignment vertical="center"/>
    </xf>
    <xf numFmtId="0" fontId="23" fillId="3" borderId="0" xfId="0" applyFont="1" applyFill="1"/>
    <xf numFmtId="0" fontId="7" fillId="3" borderId="0" xfId="0" applyFont="1" applyFill="1"/>
    <xf numFmtId="0" fontId="7" fillId="3" borderId="0" xfId="0" applyFont="1" applyFill="1" applyAlignment="1">
      <alignment vertical="center"/>
    </xf>
    <xf numFmtId="0" fontId="7" fillId="3" borderId="0" xfId="0" applyFont="1" applyFill="1" applyAlignment="1">
      <alignment horizontal="center"/>
    </xf>
    <xf numFmtId="0" fontId="42" fillId="3" borderId="6" xfId="1" applyFont="1" applyFill="1" applyBorder="1" applyAlignment="1"/>
    <xf numFmtId="0" fontId="42" fillId="3" borderId="7" xfId="1" applyFont="1" applyFill="1" applyBorder="1" applyAlignment="1"/>
    <xf numFmtId="166" fontId="7" fillId="3" borderId="0" xfId="0" applyNumberFormat="1" applyFont="1" applyFill="1"/>
    <xf numFmtId="0" fontId="5" fillId="3" borderId="0" xfId="0" applyFont="1" applyFill="1" applyAlignment="1">
      <alignment vertical="center" textRotation="255"/>
    </xf>
    <xf numFmtId="0" fontId="5" fillId="3" borderId="0" xfId="0" applyFont="1" applyFill="1" applyAlignment="1">
      <alignment vertical="center"/>
    </xf>
    <xf numFmtId="0" fontId="43" fillId="3" borderId="0" xfId="0" applyFont="1" applyFill="1"/>
    <xf numFmtId="0" fontId="22" fillId="3" borderId="0" xfId="0" applyFont="1" applyFill="1"/>
    <xf numFmtId="0" fontId="12" fillId="3" borderId="0" xfId="0" applyFont="1" applyFill="1" applyAlignment="1">
      <alignment vertical="center"/>
    </xf>
    <xf numFmtId="171" fontId="21" fillId="8" borderId="45" xfId="5" applyNumberFormat="1" applyFont="1" applyFill="1" applyBorder="1" applyAlignment="1">
      <alignment vertical="center"/>
    </xf>
    <xf numFmtId="171" fontId="12" fillId="3" borderId="39" xfId="5" applyNumberFormat="1" applyFont="1" applyFill="1" applyBorder="1" applyAlignment="1">
      <alignment vertical="center"/>
    </xf>
    <xf numFmtId="171" fontId="44" fillId="3" borderId="50" xfId="5" applyNumberFormat="1" applyFont="1" applyFill="1" applyBorder="1" applyAlignment="1">
      <alignment vertical="center"/>
    </xf>
    <xf numFmtId="171" fontId="12" fillId="3" borderId="52" xfId="5" applyNumberFormat="1" applyFont="1" applyFill="1" applyBorder="1" applyAlignment="1">
      <alignment vertical="center"/>
    </xf>
    <xf numFmtId="171" fontId="21" fillId="8" borderId="54" xfId="5" applyNumberFormat="1" applyFont="1" applyFill="1" applyBorder="1" applyAlignment="1">
      <alignment vertical="center"/>
    </xf>
    <xf numFmtId="0" fontId="12" fillId="3" borderId="0" xfId="0" applyFont="1" applyFill="1"/>
    <xf numFmtId="171" fontId="12" fillId="3" borderId="38" xfId="5" applyNumberFormat="1" applyFont="1" applyFill="1" applyBorder="1" applyAlignment="1">
      <alignment vertical="center"/>
    </xf>
    <xf numFmtId="0" fontId="3" fillId="3" borderId="0" xfId="0" applyFont="1" applyFill="1" applyBorder="1" applyAlignment="1">
      <alignment vertical="center"/>
    </xf>
    <xf numFmtId="170" fontId="3" fillId="3" borderId="0" xfId="0" applyNumberFormat="1" applyFont="1" applyFill="1" applyBorder="1" applyAlignment="1">
      <alignment vertical="center"/>
    </xf>
    <xf numFmtId="0" fontId="3" fillId="3" borderId="54" xfId="0" applyFont="1" applyFill="1" applyBorder="1" applyAlignment="1">
      <alignment vertical="center"/>
    </xf>
    <xf numFmtId="0" fontId="3" fillId="3" borderId="53" xfId="0" applyFont="1" applyFill="1" applyBorder="1" applyAlignment="1">
      <alignment vertical="center"/>
    </xf>
    <xf numFmtId="168" fontId="3" fillId="3" borderId="54" xfId="0" applyNumberFormat="1" applyFont="1" applyFill="1" applyBorder="1" applyAlignment="1">
      <alignment vertical="center"/>
    </xf>
    <xf numFmtId="0" fontId="8" fillId="8" borderId="38" xfId="0" applyFont="1" applyFill="1" applyBorder="1" applyAlignment="1">
      <alignment vertical="center"/>
    </xf>
    <xf numFmtId="170" fontId="8" fillId="8" borderId="38" xfId="0" applyNumberFormat="1" applyFont="1" applyFill="1" applyBorder="1" applyAlignment="1">
      <alignment vertical="center"/>
    </xf>
    <xf numFmtId="0" fontId="45" fillId="3" borderId="0" xfId="0" applyFont="1" applyFill="1"/>
    <xf numFmtId="171" fontId="21" fillId="8" borderId="38" xfId="5" applyNumberFormat="1" applyFont="1" applyFill="1" applyBorder="1" applyAlignment="1">
      <alignment vertical="center"/>
    </xf>
    <xf numFmtId="171" fontId="12" fillId="3" borderId="54" xfId="5" applyNumberFormat="1" applyFont="1" applyFill="1" applyBorder="1" applyAlignment="1">
      <alignment vertical="center"/>
    </xf>
    <xf numFmtId="171" fontId="12" fillId="3" borderId="0" xfId="5" applyNumberFormat="1" applyFont="1" applyFill="1" applyBorder="1" applyAlignment="1">
      <alignment vertical="center"/>
    </xf>
    <xf numFmtId="170" fontId="43" fillId="3" borderId="0" xfId="0" applyNumberFormat="1" applyFont="1" applyFill="1"/>
    <xf numFmtId="171" fontId="3" fillId="3" borderId="0" xfId="5" applyNumberFormat="1" applyFont="1" applyFill="1"/>
    <xf numFmtId="171" fontId="21" fillId="8" borderId="40" xfId="5" applyNumberFormat="1" applyFont="1" applyFill="1" applyBorder="1" applyAlignment="1">
      <alignment vertical="center"/>
    </xf>
    <xf numFmtId="171" fontId="12" fillId="3" borderId="45" xfId="5" applyNumberFormat="1" applyFont="1" applyFill="1" applyBorder="1" applyAlignment="1">
      <alignment vertical="center"/>
    </xf>
    <xf numFmtId="0" fontId="33" fillId="4" borderId="0" xfId="0" applyFont="1" applyFill="1" applyAlignment="1">
      <alignment horizontal="left" vertical="center"/>
    </xf>
    <xf numFmtId="0" fontId="46" fillId="4" borderId="0" xfId="4" applyFont="1" applyFill="1" applyAlignment="1">
      <alignment vertical="center"/>
    </xf>
    <xf numFmtId="0" fontId="8" fillId="8" borderId="40" xfId="0" applyFont="1" applyFill="1" applyBorder="1" applyAlignment="1">
      <alignment vertical="center" wrapText="1"/>
    </xf>
    <xf numFmtId="167" fontId="8" fillId="8" borderId="40" xfId="0" applyNumberFormat="1" applyFont="1" applyFill="1" applyBorder="1" applyAlignment="1">
      <alignment vertical="center"/>
    </xf>
    <xf numFmtId="167" fontId="3" fillId="8" borderId="40" xfId="0" applyNumberFormat="1" applyFont="1" applyFill="1" applyBorder="1" applyAlignment="1">
      <alignment vertical="center"/>
    </xf>
    <xf numFmtId="167" fontId="3" fillId="3" borderId="0" xfId="0" applyNumberFormat="1" applyFont="1" applyFill="1" applyBorder="1" applyAlignment="1">
      <alignment vertical="center"/>
    </xf>
    <xf numFmtId="167" fontId="3" fillId="8" borderId="40" xfId="0" applyNumberFormat="1" applyFont="1" applyFill="1" applyBorder="1" applyAlignment="1">
      <alignment horizontal="right" vertical="center"/>
    </xf>
    <xf numFmtId="0" fontId="3" fillId="0" borderId="38" xfId="4" applyFont="1" applyFill="1" applyBorder="1" applyAlignment="1">
      <alignment vertical="center"/>
    </xf>
    <xf numFmtId="3" fontId="3" fillId="0" borderId="38" xfId="4" applyNumberFormat="1" applyFont="1" applyFill="1" applyBorder="1" applyAlignment="1">
      <alignment vertical="center"/>
    </xf>
    <xf numFmtId="3" fontId="3" fillId="3" borderId="39" xfId="4" applyNumberFormat="1" applyFont="1" applyFill="1" applyBorder="1" applyAlignment="1">
      <alignment horizontal="right" vertical="center"/>
    </xf>
    <xf numFmtId="171" fontId="3" fillId="3" borderId="0" xfId="5" applyNumberFormat="1" applyFont="1" applyFill="1" applyAlignment="1">
      <alignment horizontal="center" vertical="center" wrapText="1"/>
    </xf>
    <xf numFmtId="171" fontId="1" fillId="3" borderId="44" xfId="5" applyNumberFormat="1" applyFont="1" applyFill="1" applyBorder="1"/>
    <xf numFmtId="171" fontId="7" fillId="3" borderId="0" xfId="5" applyNumberFormat="1" applyFont="1" applyFill="1"/>
    <xf numFmtId="3" fontId="3" fillId="3" borderId="38" xfId="2" applyNumberFormat="1" applyFont="1" applyFill="1" applyBorder="1" applyAlignment="1">
      <alignment horizontal="right" vertical="center"/>
    </xf>
    <xf numFmtId="0" fontId="3" fillId="3" borderId="0" xfId="4" applyFont="1" applyFill="1" applyBorder="1" applyAlignment="1">
      <alignment vertical="center"/>
    </xf>
    <xf numFmtId="166" fontId="1" fillId="3" borderId="0" xfId="0" applyNumberFormat="1" applyFont="1" applyFill="1" applyAlignment="1">
      <alignment vertical="center"/>
    </xf>
    <xf numFmtId="171" fontId="21" fillId="8" borderId="59" xfId="5" applyNumberFormat="1" applyFont="1" applyFill="1" applyBorder="1" applyAlignment="1">
      <alignment vertical="center"/>
    </xf>
    <xf numFmtId="171" fontId="12" fillId="0" borderId="38" xfId="5" applyNumberFormat="1" applyFont="1" applyFill="1" applyBorder="1" applyAlignment="1">
      <alignment vertical="center"/>
    </xf>
    <xf numFmtId="171" fontId="12" fillId="3" borderId="39" xfId="5" applyNumberFormat="1" applyFont="1" applyFill="1" applyBorder="1" applyAlignment="1"/>
    <xf numFmtId="171" fontId="12" fillId="3" borderId="40" xfId="5" applyNumberFormat="1" applyFont="1" applyFill="1" applyBorder="1" applyAlignment="1"/>
    <xf numFmtId="171" fontId="12" fillId="3" borderId="0" xfId="5" applyNumberFormat="1" applyFont="1" applyFill="1" applyAlignment="1">
      <alignment vertical="center"/>
    </xf>
    <xf numFmtId="171" fontId="12" fillId="3" borderId="50" xfId="5" applyNumberFormat="1" applyFont="1" applyFill="1" applyBorder="1" applyAlignment="1">
      <alignment vertical="center"/>
    </xf>
    <xf numFmtId="171" fontId="12" fillId="3" borderId="40" xfId="5" applyNumberFormat="1" applyFont="1" applyFill="1" applyBorder="1"/>
    <xf numFmtId="171" fontId="12" fillId="8" borderId="40" xfId="5" applyNumberFormat="1" applyFont="1" applyFill="1" applyBorder="1" applyAlignment="1">
      <alignment vertical="center"/>
    </xf>
    <xf numFmtId="0" fontId="12" fillId="3" borderId="44" xfId="0" applyFont="1" applyFill="1" applyBorder="1"/>
    <xf numFmtId="169" fontId="15" fillId="3" borderId="0" xfId="3" applyNumberFormat="1" applyFont="1" applyFill="1" applyBorder="1" applyAlignment="1">
      <alignment horizontal="center" vertical="center"/>
    </xf>
    <xf numFmtId="0" fontId="32" fillId="3" borderId="5" xfId="1" applyFill="1" applyBorder="1" applyAlignment="1"/>
    <xf numFmtId="3" fontId="3" fillId="3" borderId="0" xfId="2" applyNumberFormat="1" applyFont="1" applyFill="1" applyBorder="1" applyAlignment="1">
      <alignment vertical="center"/>
    </xf>
    <xf numFmtId="3" fontId="7" fillId="3" borderId="0" xfId="0" applyNumberFormat="1" applyFont="1" applyFill="1"/>
    <xf numFmtId="3" fontId="1" fillId="3" borderId="0" xfId="0" applyNumberFormat="1" applyFont="1" applyFill="1"/>
    <xf numFmtId="3" fontId="3" fillId="11" borderId="0" xfId="2" applyNumberFormat="1" applyFont="1" applyFill="1" applyBorder="1" applyAlignment="1">
      <alignment horizontal="center" vertical="center"/>
    </xf>
    <xf numFmtId="0" fontId="47" fillId="0" borderId="0" xfId="0" applyFont="1" applyAlignment="1">
      <alignment horizontal="center" vertical="center"/>
    </xf>
    <xf numFmtId="0" fontId="48" fillId="0" borderId="0" xfId="0" applyFont="1" applyAlignment="1">
      <alignment horizontal="left" vertical="center" wrapText="1"/>
    </xf>
    <xf numFmtId="0" fontId="41" fillId="0" borderId="0" xfId="0" applyFont="1" applyAlignment="1">
      <alignment horizontal="left" vertical="top" wrapText="1"/>
    </xf>
    <xf numFmtId="0" fontId="48" fillId="3" borderId="0" xfId="0" applyFont="1" applyFill="1" applyBorder="1" applyAlignment="1">
      <alignment horizontal="left" vertical="center" wrapText="1"/>
    </xf>
    <xf numFmtId="0" fontId="48" fillId="0" borderId="0" xfId="0" applyFont="1" applyAlignment="1">
      <alignment horizontal="left" vertical="top" wrapText="1"/>
    </xf>
    <xf numFmtId="0" fontId="13" fillId="0" borderId="0" xfId="0" applyFont="1" applyAlignment="1">
      <alignment horizontal="left" vertical="top" wrapText="1"/>
    </xf>
    <xf numFmtId="0" fontId="39" fillId="3" borderId="0" xfId="0" applyFont="1" applyFill="1" applyBorder="1" applyAlignment="1">
      <alignment horizontal="center" vertical="center"/>
    </xf>
    <xf numFmtId="0" fontId="39" fillId="3" borderId="0" xfId="0" applyFont="1" applyFill="1" applyBorder="1" applyAlignment="1">
      <alignment horizontal="center" vertical="center" wrapText="1"/>
    </xf>
    <xf numFmtId="0" fontId="50" fillId="0" borderId="0" xfId="0" applyFont="1" applyAlignment="1">
      <alignment horizontal="left" vertical="top" wrapText="1"/>
    </xf>
    <xf numFmtId="0" fontId="32" fillId="3" borderId="11" xfId="1" applyFill="1" applyBorder="1" applyAlignment="1">
      <alignment horizontal="left" vertical="top" wrapText="1"/>
    </xf>
    <xf numFmtId="0" fontId="42" fillId="3" borderId="13" xfId="1" applyFont="1" applyFill="1" applyBorder="1" applyAlignment="1">
      <alignment horizontal="left" vertical="top" wrapText="1"/>
    </xf>
    <xf numFmtId="0" fontId="42" fillId="3" borderId="12" xfId="1" applyFont="1" applyFill="1" applyBorder="1" applyAlignment="1">
      <alignment horizontal="left" vertical="top" wrapText="1"/>
    </xf>
    <xf numFmtId="3" fontId="3" fillId="11" borderId="62" xfId="2" applyNumberFormat="1" applyFont="1" applyFill="1" applyBorder="1" applyAlignment="1">
      <alignment horizontal="center" vertical="center"/>
    </xf>
    <xf numFmtId="3" fontId="3" fillId="11" borderId="0" xfId="2" applyNumberFormat="1" applyFont="1" applyFill="1" applyBorder="1" applyAlignment="1">
      <alignment horizontal="center" vertical="center"/>
    </xf>
    <xf numFmtId="3" fontId="3" fillId="11" borderId="39" xfId="2" applyNumberFormat="1" applyFont="1" applyFill="1" applyBorder="1" applyAlignment="1">
      <alignment horizontal="center" vertical="center"/>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7" fillId="3" borderId="22" xfId="0" applyFont="1" applyFill="1" applyBorder="1" applyAlignment="1">
      <alignment horizontal="left" wrapText="1"/>
    </xf>
    <xf numFmtId="0" fontId="7" fillId="3" borderId="24" xfId="0" applyFont="1" applyFill="1" applyBorder="1" applyAlignment="1">
      <alignment horizontal="left" wrapText="1"/>
    </xf>
    <xf numFmtId="0" fontId="7" fillId="3" borderId="23" xfId="0" applyFont="1" applyFill="1" applyBorder="1" applyAlignment="1">
      <alignment horizontal="left" wrapText="1"/>
    </xf>
    <xf numFmtId="0" fontId="12" fillId="3" borderId="11" xfId="0" applyFont="1" applyFill="1" applyBorder="1" applyAlignment="1">
      <alignment horizontal="right" vertical="center" wrapText="1"/>
    </xf>
    <xf numFmtId="0" fontId="12" fillId="3" borderId="12" xfId="0" applyFont="1" applyFill="1" applyBorder="1" applyAlignment="1">
      <alignment horizontal="right" vertical="center" wrapText="1"/>
    </xf>
    <xf numFmtId="0" fontId="32" fillId="3" borderId="11" xfId="1" applyFill="1" applyBorder="1" applyAlignment="1">
      <alignment horizontal="left" vertical="center"/>
    </xf>
    <xf numFmtId="0" fontId="42" fillId="3" borderId="13" xfId="1" applyFont="1" applyFill="1" applyBorder="1" applyAlignment="1">
      <alignment horizontal="left" vertical="center"/>
    </xf>
    <xf numFmtId="0" fontId="42" fillId="3" borderId="12" xfId="1" applyFont="1" applyFill="1" applyBorder="1" applyAlignment="1">
      <alignment horizontal="left" vertical="center"/>
    </xf>
    <xf numFmtId="0" fontId="23" fillId="3" borderId="0" xfId="0" applyFont="1" applyFill="1" applyAlignment="1">
      <alignment horizontal="left" wrapText="1"/>
    </xf>
    <xf numFmtId="0" fontId="49" fillId="0" borderId="0" xfId="0" applyFont="1" applyAlignment="1">
      <alignment wrapText="1"/>
    </xf>
    <xf numFmtId="0" fontId="49" fillId="0" borderId="16" xfId="0" applyFont="1" applyBorder="1" applyAlignment="1">
      <alignment wrapText="1"/>
    </xf>
    <xf numFmtId="0" fontId="4" fillId="3" borderId="14" xfId="0" applyFont="1" applyFill="1" applyBorder="1" applyAlignment="1">
      <alignment horizontal="left" wrapText="1"/>
    </xf>
    <xf numFmtId="0" fontId="4" fillId="3" borderId="15" xfId="0" applyFont="1" applyFill="1" applyBorder="1" applyAlignment="1">
      <alignment horizontal="left" wrapText="1"/>
    </xf>
    <xf numFmtId="0" fontId="49" fillId="0" borderId="0" xfId="0" applyFont="1"/>
    <xf numFmtId="0" fontId="49" fillId="0" borderId="16" xfId="0" applyFont="1" applyBorder="1"/>
    <xf numFmtId="0" fontId="32" fillId="3" borderId="5" xfId="1" applyFill="1" applyBorder="1" applyAlignment="1">
      <alignment horizontal="left" vertical="top"/>
    </xf>
    <xf numFmtId="0" fontId="42" fillId="3" borderId="6" xfId="1" applyFont="1" applyFill="1" applyBorder="1" applyAlignment="1">
      <alignment horizontal="left" vertical="top"/>
    </xf>
    <xf numFmtId="0" fontId="42" fillId="3" borderId="7" xfId="1" applyFont="1" applyFill="1" applyBorder="1" applyAlignment="1">
      <alignment horizontal="left" vertical="top"/>
    </xf>
    <xf numFmtId="0" fontId="4" fillId="3" borderId="17" xfId="0" applyFont="1" applyFill="1" applyBorder="1" applyAlignment="1">
      <alignment horizontal="left" wrapText="1"/>
    </xf>
    <xf numFmtId="0" fontId="4" fillId="3" borderId="18" xfId="0" applyFont="1" applyFill="1" applyBorder="1" applyAlignment="1">
      <alignment horizontal="left"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7" fillId="3" borderId="19" xfId="0" applyFont="1" applyFill="1" applyBorder="1" applyAlignment="1">
      <alignment horizontal="left" wrapText="1"/>
    </xf>
    <xf numFmtId="0" fontId="7" fillId="3" borderId="21" xfId="0" applyFont="1" applyFill="1" applyBorder="1" applyAlignment="1">
      <alignment horizontal="left" wrapText="1"/>
    </xf>
    <xf numFmtId="0" fontId="7" fillId="3" borderId="20" xfId="0" applyFont="1" applyFill="1" applyBorder="1" applyAlignment="1">
      <alignment horizontal="left" wrapText="1"/>
    </xf>
    <xf numFmtId="0" fontId="12" fillId="3" borderId="5" xfId="0" applyFont="1" applyFill="1" applyBorder="1" applyAlignment="1">
      <alignment horizontal="right" vertical="center" wrapText="1"/>
    </xf>
    <xf numFmtId="0" fontId="12" fillId="3" borderId="7" xfId="0" applyFont="1" applyFill="1" applyBorder="1" applyAlignment="1">
      <alignment horizontal="right" vertical="center" wrapText="1"/>
    </xf>
    <xf numFmtId="0" fontId="32" fillId="3" borderId="11" xfId="1" applyFill="1" applyBorder="1" applyAlignment="1">
      <alignment horizontal="left" vertical="top"/>
    </xf>
    <xf numFmtId="0" fontId="42" fillId="3" borderId="13" xfId="1" applyFont="1" applyFill="1" applyBorder="1" applyAlignment="1">
      <alignment horizontal="left" vertical="top"/>
    </xf>
    <xf numFmtId="0" fontId="42" fillId="3" borderId="12" xfId="1" applyFont="1" applyFill="1" applyBorder="1" applyAlignment="1">
      <alignment horizontal="left" vertical="top"/>
    </xf>
    <xf numFmtId="0" fontId="4" fillId="10" borderId="8" xfId="4" applyFont="1" applyFill="1" applyBorder="1" applyAlignment="1">
      <alignment horizontal="center" vertical="center" wrapText="1"/>
    </xf>
    <xf numFmtId="0" fontId="4" fillId="10" borderId="9" xfId="4" applyFont="1" applyFill="1" applyBorder="1" applyAlignment="1">
      <alignment horizontal="center" vertical="center" wrapText="1"/>
    </xf>
    <xf numFmtId="0" fontId="4" fillId="10" borderId="10" xfId="4"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8" fillId="3" borderId="69" xfId="0" applyFont="1" applyFill="1" applyBorder="1" applyAlignment="1">
      <alignment horizontal="center" vertical="center" textRotation="255" wrapText="1"/>
    </xf>
    <xf numFmtId="0" fontId="8" fillId="3" borderId="67" xfId="0" applyFont="1" applyFill="1" applyBorder="1" applyAlignment="1">
      <alignment horizontal="center" vertical="center" textRotation="255" wrapText="1"/>
    </xf>
    <xf numFmtId="0" fontId="8" fillId="3" borderId="70" xfId="0" applyFont="1" applyFill="1" applyBorder="1" applyAlignment="1">
      <alignment horizontal="center" vertical="center" textRotation="255" wrapText="1"/>
    </xf>
    <xf numFmtId="3" fontId="3" fillId="3" borderId="0" xfId="4" applyNumberFormat="1" applyFont="1" applyFill="1" applyAlignment="1">
      <alignment horizontal="left" vertical="center"/>
    </xf>
    <xf numFmtId="0" fontId="8" fillId="3" borderId="63" xfId="0" applyFont="1" applyFill="1" applyBorder="1" applyAlignment="1">
      <alignment horizontal="center" vertical="center" textRotation="255"/>
    </xf>
    <xf numFmtId="0" fontId="8" fillId="3" borderId="64" xfId="0" applyFont="1" applyFill="1" applyBorder="1" applyAlignment="1">
      <alignment horizontal="center" vertical="center" textRotation="255"/>
    </xf>
    <xf numFmtId="0" fontId="8" fillId="3" borderId="65" xfId="0" applyFont="1" applyFill="1" applyBorder="1" applyAlignment="1">
      <alignment horizontal="center" vertical="center" textRotation="255"/>
    </xf>
    <xf numFmtId="3" fontId="3" fillId="3" borderId="3" xfId="4" applyNumberFormat="1" applyFont="1" applyFill="1" applyBorder="1" applyAlignment="1">
      <alignment horizontal="left" vertical="center"/>
    </xf>
    <xf numFmtId="0" fontId="8" fillId="3" borderId="66" xfId="0" applyFont="1" applyFill="1" applyBorder="1" applyAlignment="1">
      <alignment horizontal="center" vertical="center" textRotation="255"/>
    </xf>
    <xf numFmtId="0" fontId="8" fillId="3" borderId="67" xfId="0" applyFont="1" applyFill="1" applyBorder="1" applyAlignment="1">
      <alignment horizontal="center" vertical="center" textRotation="255"/>
    </xf>
    <xf numFmtId="0" fontId="8" fillId="3" borderId="68" xfId="0" applyFont="1" applyFill="1" applyBorder="1" applyAlignment="1">
      <alignment horizontal="center" vertical="center" textRotation="255"/>
    </xf>
    <xf numFmtId="0" fontId="4" fillId="10" borderId="8" xfId="4" applyFont="1" applyFill="1" applyBorder="1" applyAlignment="1">
      <alignment horizontal="center" vertical="center"/>
    </xf>
    <xf numFmtId="0" fontId="4" fillId="10" borderId="9" xfId="4" applyFont="1" applyFill="1" applyBorder="1" applyAlignment="1">
      <alignment horizontal="center" vertical="center"/>
    </xf>
    <xf numFmtId="0" fontId="32" fillId="3" borderId="5" xfId="1" applyFill="1" applyBorder="1" applyAlignment="1">
      <alignment horizontal="left" vertical="center" wrapText="1"/>
    </xf>
    <xf numFmtId="0" fontId="42" fillId="3" borderId="6" xfId="1" applyFont="1" applyFill="1" applyBorder="1" applyAlignment="1">
      <alignment horizontal="left" vertical="center" wrapText="1"/>
    </xf>
    <xf numFmtId="0" fontId="42" fillId="3" borderId="7" xfId="1"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32" fillId="3" borderId="5" xfId="1" applyFill="1" applyBorder="1" applyAlignment="1">
      <alignment horizontal="left" vertical="center"/>
    </xf>
    <xf numFmtId="0" fontId="42" fillId="3" borderId="6" xfId="1" applyFont="1" applyFill="1" applyBorder="1" applyAlignment="1">
      <alignment horizontal="left" vertical="center"/>
    </xf>
    <xf numFmtId="0" fontId="42" fillId="3" borderId="7" xfId="1" applyFont="1" applyFill="1" applyBorder="1" applyAlignment="1">
      <alignment horizontal="left" vertical="center"/>
    </xf>
    <xf numFmtId="3" fontId="3" fillId="11" borderId="40" xfId="2" applyNumberFormat="1" applyFont="1" applyFill="1" applyBorder="1" applyAlignment="1">
      <alignment horizontal="center"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16" fillId="3" borderId="66" xfId="0" applyFont="1" applyFill="1" applyBorder="1" applyAlignment="1">
      <alignment horizontal="center" vertical="center" textRotation="255"/>
    </xf>
    <xf numFmtId="0" fontId="16" fillId="3" borderId="67" xfId="0" applyFont="1" applyFill="1" applyBorder="1" applyAlignment="1">
      <alignment horizontal="center" vertical="center" textRotation="255"/>
    </xf>
    <xf numFmtId="0" fontId="16" fillId="3" borderId="70" xfId="0" applyFont="1" applyFill="1" applyBorder="1" applyAlignment="1">
      <alignment horizontal="center" vertical="center" textRotation="255"/>
    </xf>
    <xf numFmtId="0" fontId="24" fillId="3" borderId="66" xfId="0" applyFont="1" applyFill="1" applyBorder="1" applyAlignment="1">
      <alignment horizontal="center" vertical="center" textRotation="255"/>
    </xf>
    <xf numFmtId="0" fontId="24" fillId="3" borderId="67" xfId="0" applyFont="1" applyFill="1" applyBorder="1" applyAlignment="1">
      <alignment horizontal="center" vertical="center" textRotation="255"/>
    </xf>
    <xf numFmtId="0" fontId="24" fillId="3" borderId="70" xfId="0" applyFont="1" applyFill="1" applyBorder="1" applyAlignment="1">
      <alignment horizontal="center" vertical="center" textRotation="255"/>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27" fillId="3" borderId="66" xfId="0" applyFont="1" applyFill="1" applyBorder="1" applyAlignment="1">
      <alignment horizontal="center" vertical="center" textRotation="255"/>
    </xf>
    <xf numFmtId="0" fontId="27" fillId="3" borderId="67" xfId="0" applyFont="1" applyFill="1" applyBorder="1" applyAlignment="1">
      <alignment horizontal="center" vertical="center" textRotation="255"/>
    </xf>
    <xf numFmtId="168" fontId="3" fillId="11" borderId="45" xfId="0" applyNumberFormat="1" applyFont="1" applyFill="1" applyBorder="1" applyAlignment="1">
      <alignment horizontal="center" vertical="center"/>
    </xf>
    <xf numFmtId="0" fontId="26" fillId="3" borderId="66" xfId="0" applyFont="1" applyFill="1" applyBorder="1" applyAlignment="1">
      <alignment horizontal="center" vertical="center" textRotation="255"/>
    </xf>
    <xf numFmtId="0" fontId="26" fillId="3" borderId="70" xfId="0" applyFont="1" applyFill="1" applyBorder="1" applyAlignment="1">
      <alignment horizontal="center" vertical="center" textRotation="255"/>
    </xf>
    <xf numFmtId="0" fontId="4" fillId="3" borderId="4" xfId="0" applyFont="1" applyFill="1" applyBorder="1" applyAlignment="1">
      <alignment horizontal="left"/>
    </xf>
    <xf numFmtId="0" fontId="4" fillId="3" borderId="27" xfId="0" applyFont="1" applyFill="1" applyBorder="1" applyAlignment="1">
      <alignment horizontal="left"/>
    </xf>
    <xf numFmtId="0" fontId="7" fillId="3" borderId="28" xfId="0" applyFont="1" applyFill="1" applyBorder="1" applyAlignment="1">
      <alignment horizontal="left"/>
    </xf>
    <xf numFmtId="0" fontId="7" fillId="3" borderId="29" xfId="0" applyFont="1" applyFill="1" applyBorder="1" applyAlignment="1">
      <alignment horizontal="left"/>
    </xf>
    <xf numFmtId="0" fontId="7" fillId="3" borderId="30" xfId="0" applyFont="1" applyFill="1" applyBorder="1" applyAlignment="1">
      <alignment horizontal="left"/>
    </xf>
    <xf numFmtId="0" fontId="4" fillId="3" borderId="4" xfId="0" applyFont="1" applyFill="1" applyBorder="1" applyAlignment="1">
      <alignment horizontal="left" vertical="center"/>
    </xf>
    <xf numFmtId="0" fontId="4" fillId="3" borderId="27" xfId="0" applyFont="1" applyFill="1" applyBorder="1" applyAlignment="1">
      <alignment horizontal="left" vertical="center"/>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46" fillId="4" borderId="0" xfId="0" applyFont="1" applyFill="1" applyAlignment="1">
      <alignment horizontal="left" vertical="center"/>
    </xf>
    <xf numFmtId="3" fontId="3" fillId="11" borderId="45" xfId="2" applyNumberFormat="1" applyFont="1" applyFill="1" applyBorder="1" applyAlignment="1">
      <alignment horizontal="center" vertical="center"/>
    </xf>
    <xf numFmtId="0" fontId="8" fillId="3" borderId="71" xfId="0" applyFont="1" applyFill="1" applyBorder="1" applyAlignment="1">
      <alignment horizontal="center" vertical="center" textRotation="255"/>
    </xf>
    <xf numFmtId="0" fontId="24" fillId="3" borderId="71" xfId="0" applyFont="1" applyFill="1" applyBorder="1" applyAlignment="1">
      <alignment horizontal="center" vertical="center" textRotation="255" wrapText="1"/>
    </xf>
    <xf numFmtId="0" fontId="29" fillId="3" borderId="66" xfId="0" applyFont="1" applyFill="1" applyBorder="1" applyAlignment="1">
      <alignment horizontal="center" vertical="center" textRotation="255"/>
    </xf>
    <xf numFmtId="0" fontId="29" fillId="3" borderId="67" xfId="0" applyFont="1" applyFill="1" applyBorder="1" applyAlignment="1">
      <alignment horizontal="center" vertical="center" textRotation="255"/>
    </xf>
    <xf numFmtId="0" fontId="29" fillId="3" borderId="70" xfId="0" applyFont="1" applyFill="1" applyBorder="1" applyAlignment="1">
      <alignment horizontal="center" vertical="center" textRotation="255"/>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30" xfId="0" applyFont="1" applyFill="1" applyBorder="1" applyAlignment="1">
      <alignment horizontal="left" vertical="top" wrapText="1"/>
    </xf>
    <xf numFmtId="0" fontId="8" fillId="3" borderId="72" xfId="0" applyFont="1" applyFill="1" applyBorder="1" applyAlignment="1">
      <alignment horizontal="center" vertical="center" textRotation="255"/>
    </xf>
    <xf numFmtId="0" fontId="8" fillId="3" borderId="73" xfId="0" applyFont="1" applyFill="1" applyBorder="1" applyAlignment="1">
      <alignment horizontal="center" vertical="center" textRotation="255"/>
    </xf>
    <xf numFmtId="0" fontId="8" fillId="3" borderId="74" xfId="0" applyFont="1" applyFill="1" applyBorder="1" applyAlignment="1">
      <alignment horizontal="center" vertical="center" textRotation="255"/>
    </xf>
    <xf numFmtId="0" fontId="28" fillId="3" borderId="72" xfId="0" applyFont="1" applyFill="1" applyBorder="1" applyAlignment="1">
      <alignment horizontal="center" vertical="center" textRotation="255" wrapText="1"/>
    </xf>
    <xf numFmtId="0" fontId="28" fillId="3" borderId="73" xfId="0" applyFont="1" applyFill="1" applyBorder="1" applyAlignment="1">
      <alignment horizontal="center" vertical="center" textRotation="255" wrapText="1"/>
    </xf>
    <xf numFmtId="0" fontId="28" fillId="3" borderId="74" xfId="0" applyFont="1" applyFill="1" applyBorder="1" applyAlignment="1">
      <alignment horizontal="center" vertical="center" textRotation="255" wrapText="1"/>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12" fillId="3" borderId="5" xfId="0" applyFont="1" applyFill="1" applyBorder="1" applyAlignment="1">
      <alignment horizontal="right" vertical="center"/>
    </xf>
    <xf numFmtId="0" fontId="12" fillId="3" borderId="6" xfId="0" applyFont="1" applyFill="1" applyBorder="1" applyAlignment="1">
      <alignment horizontal="right" vertical="center"/>
    </xf>
    <xf numFmtId="0" fontId="12" fillId="3" borderId="25" xfId="0" applyFont="1" applyFill="1" applyBorder="1" applyAlignment="1">
      <alignment horizontal="right" vertical="center"/>
    </xf>
    <xf numFmtId="0" fontId="12" fillId="3" borderId="16" xfId="0" applyFont="1" applyFill="1" applyBorder="1" applyAlignment="1">
      <alignment horizontal="right" vertical="center"/>
    </xf>
    <xf numFmtId="0" fontId="12" fillId="3" borderId="7" xfId="0" applyFont="1" applyFill="1" applyBorder="1" applyAlignment="1">
      <alignment horizontal="right" vertical="center"/>
    </xf>
    <xf numFmtId="0" fontId="32" fillId="3" borderId="34" xfId="1" applyFill="1" applyBorder="1" applyAlignment="1">
      <alignment horizontal="left" vertical="center" wrapText="1"/>
    </xf>
    <xf numFmtId="0" fontId="7" fillId="3" borderId="34" xfId="0" applyFont="1" applyFill="1" applyBorder="1" applyAlignment="1">
      <alignment horizontal="left" vertical="center" wrapText="1"/>
    </xf>
    <xf numFmtId="3" fontId="3" fillId="2" borderId="38" xfId="4" applyNumberFormat="1" applyFont="1" applyFill="1" applyBorder="1" applyAlignment="1">
      <alignment horizontal="center" vertical="center"/>
    </xf>
    <xf numFmtId="3" fontId="3" fillId="2" borderId="38" xfId="2" applyNumberFormat="1" applyFont="1" applyFill="1" applyBorder="1" applyAlignment="1">
      <alignment horizontal="center" vertical="center"/>
    </xf>
    <xf numFmtId="0" fontId="32" fillId="3" borderId="25" xfId="1" applyFill="1" applyBorder="1" applyAlignment="1">
      <alignment horizontal="left" vertical="center"/>
    </xf>
    <xf numFmtId="0" fontId="42" fillId="3" borderId="0" xfId="1" applyFont="1" applyFill="1" applyBorder="1" applyAlignment="1">
      <alignment horizontal="left" vertical="center"/>
    </xf>
    <xf numFmtId="0" fontId="42" fillId="3" borderId="16" xfId="1" applyFont="1" applyFill="1" applyBorder="1" applyAlignment="1">
      <alignment horizontal="left" vertical="center"/>
    </xf>
    <xf numFmtId="0" fontId="12" fillId="3" borderId="0" xfId="0" applyFont="1" applyFill="1" applyBorder="1" applyAlignment="1">
      <alignment horizontal="right" vertical="center"/>
    </xf>
  </cellXfs>
  <cellStyles count="6">
    <cellStyle name="Lien hypertexte" xfId="1" builtinId="8"/>
    <cellStyle name="Milliers" xfId="2" builtinId="3"/>
    <cellStyle name="Monétaire" xfId="3" builtinId="4"/>
    <cellStyle name="Normal" xfId="0" builtinId="0"/>
    <cellStyle name="Normal 2" xfId="4" xr:uid="{00000000-0005-0000-0000-000004000000}"/>
    <cellStyle name="Pourcentag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253999</xdr:colOff>
      <xdr:row>0</xdr:row>
      <xdr:rowOff>0</xdr:rowOff>
    </xdr:from>
    <xdr:to>
      <xdr:col>2</xdr:col>
      <xdr:colOff>1638299</xdr:colOff>
      <xdr:row>1</xdr:row>
      <xdr:rowOff>53626</xdr:rowOff>
    </xdr:to>
    <xdr:pic>
      <xdr:nvPicPr>
        <xdr:cNvPr id="3" name="Image 2">
          <a:extLst>
            <a:ext uri="{FF2B5EF4-FFF2-40B4-BE49-F238E27FC236}">
              <a16:creationId xmlns:a16="http://schemas.microsoft.com/office/drawing/2014/main" id="{C46D0268-3CA5-7E3D-DEF8-345E6560AB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49" y="0"/>
          <a:ext cx="1670050" cy="698151"/>
        </a:xfrm>
        <a:prstGeom prst="rect">
          <a:avLst/>
        </a:prstGeom>
      </xdr:spPr>
    </xdr:pic>
    <xdr:clientData/>
  </xdr:twoCellAnchor>
  <xdr:twoCellAnchor editAs="oneCell">
    <xdr:from>
      <xdr:col>32</xdr:col>
      <xdr:colOff>88900</xdr:colOff>
      <xdr:row>0</xdr:row>
      <xdr:rowOff>111125</xdr:rowOff>
    </xdr:from>
    <xdr:to>
      <xdr:col>33</xdr:col>
      <xdr:colOff>739775</xdr:colOff>
      <xdr:row>1</xdr:row>
      <xdr:rowOff>54066</xdr:rowOff>
    </xdr:to>
    <xdr:pic>
      <xdr:nvPicPr>
        <xdr:cNvPr id="4" name="Image 3">
          <a:extLst>
            <a:ext uri="{FF2B5EF4-FFF2-40B4-BE49-F238E27FC236}">
              <a16:creationId xmlns:a16="http://schemas.microsoft.com/office/drawing/2014/main" id="{CC69D4D0-19B5-4E7C-9887-67479B3BE2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0" y="111125"/>
          <a:ext cx="1412875" cy="587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1673225</xdr:colOff>
      <xdr:row>1</xdr:row>
      <xdr:rowOff>174276</xdr:rowOff>
    </xdr:to>
    <xdr:pic>
      <xdr:nvPicPr>
        <xdr:cNvPr id="2" name="Image 1">
          <a:extLst>
            <a:ext uri="{FF2B5EF4-FFF2-40B4-BE49-F238E27FC236}">
              <a16:creationId xmlns:a16="http://schemas.microsoft.com/office/drawing/2014/main" id="{BEAB7EAD-23A3-4C5B-8C7F-E13ED47247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0"/>
          <a:ext cx="1666875" cy="701326"/>
        </a:xfrm>
        <a:prstGeom prst="rect">
          <a:avLst/>
        </a:prstGeom>
      </xdr:spPr>
    </xdr:pic>
    <xdr:clientData/>
  </xdr:twoCellAnchor>
  <xdr:twoCellAnchor editAs="oneCell">
    <xdr:from>
      <xdr:col>30</xdr:col>
      <xdr:colOff>120651</xdr:colOff>
      <xdr:row>0</xdr:row>
      <xdr:rowOff>44450</xdr:rowOff>
    </xdr:from>
    <xdr:to>
      <xdr:col>31</xdr:col>
      <xdr:colOff>758825</xdr:colOff>
      <xdr:row>1</xdr:row>
      <xdr:rowOff>98130</xdr:rowOff>
    </xdr:to>
    <xdr:pic>
      <xdr:nvPicPr>
        <xdr:cNvPr id="4" name="Image 3">
          <a:extLst>
            <a:ext uri="{FF2B5EF4-FFF2-40B4-BE49-F238E27FC236}">
              <a16:creationId xmlns:a16="http://schemas.microsoft.com/office/drawing/2014/main" id="{3571F380-3A8C-49C4-903F-B5BF98DF4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91801" y="44450"/>
          <a:ext cx="1393824" cy="580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358775</xdr:colOff>
      <xdr:row>1</xdr:row>
      <xdr:rowOff>53626</xdr:rowOff>
    </xdr:to>
    <xdr:pic>
      <xdr:nvPicPr>
        <xdr:cNvPr id="2" name="Image 1">
          <a:extLst>
            <a:ext uri="{FF2B5EF4-FFF2-40B4-BE49-F238E27FC236}">
              <a16:creationId xmlns:a16="http://schemas.microsoft.com/office/drawing/2014/main" id="{910B05DA-81DC-4829-AE9C-9EC36423C0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0" y="0"/>
          <a:ext cx="1666875" cy="701326"/>
        </a:xfrm>
        <a:prstGeom prst="rect">
          <a:avLst/>
        </a:prstGeom>
      </xdr:spPr>
    </xdr:pic>
    <xdr:clientData/>
  </xdr:twoCellAnchor>
  <xdr:twoCellAnchor editAs="oneCell">
    <xdr:from>
      <xdr:col>31</xdr:col>
      <xdr:colOff>574675</xdr:colOff>
      <xdr:row>0</xdr:row>
      <xdr:rowOff>25400</xdr:rowOff>
    </xdr:from>
    <xdr:to>
      <xdr:col>33</xdr:col>
      <xdr:colOff>720725</xdr:colOff>
      <xdr:row>2</xdr:row>
      <xdr:rowOff>2826</xdr:rowOff>
    </xdr:to>
    <xdr:pic>
      <xdr:nvPicPr>
        <xdr:cNvPr id="3" name="Image 2">
          <a:extLst>
            <a:ext uri="{FF2B5EF4-FFF2-40B4-BE49-F238E27FC236}">
              <a16:creationId xmlns:a16="http://schemas.microsoft.com/office/drawing/2014/main" id="{01CF45F6-7884-4DCE-96B6-566BC49A8E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09375" y="25400"/>
          <a:ext cx="1666875" cy="704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911225</xdr:colOff>
      <xdr:row>1</xdr:row>
      <xdr:rowOff>53626</xdr:rowOff>
    </xdr:to>
    <xdr:pic>
      <xdr:nvPicPr>
        <xdr:cNvPr id="3" name="Image 2">
          <a:extLst>
            <a:ext uri="{FF2B5EF4-FFF2-40B4-BE49-F238E27FC236}">
              <a16:creationId xmlns:a16="http://schemas.microsoft.com/office/drawing/2014/main" id="{7035A0AF-B2C9-4F65-9B59-7966CAF994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0" y="0"/>
          <a:ext cx="1666875" cy="701326"/>
        </a:xfrm>
        <a:prstGeom prst="rect">
          <a:avLst/>
        </a:prstGeom>
      </xdr:spPr>
    </xdr:pic>
    <xdr:clientData/>
  </xdr:twoCellAnchor>
  <xdr:twoCellAnchor editAs="oneCell">
    <xdr:from>
      <xdr:col>31</xdr:col>
      <xdr:colOff>593725</xdr:colOff>
      <xdr:row>0</xdr:row>
      <xdr:rowOff>47625</xdr:rowOff>
    </xdr:from>
    <xdr:to>
      <xdr:col>33</xdr:col>
      <xdr:colOff>739775</xdr:colOff>
      <xdr:row>2</xdr:row>
      <xdr:rowOff>15526</xdr:rowOff>
    </xdr:to>
    <xdr:pic>
      <xdr:nvPicPr>
        <xdr:cNvPr id="4" name="Image 3">
          <a:extLst>
            <a:ext uri="{FF2B5EF4-FFF2-40B4-BE49-F238E27FC236}">
              <a16:creationId xmlns:a16="http://schemas.microsoft.com/office/drawing/2014/main" id="{8F96F34B-DE77-479D-B892-4DD460E24E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83925" y="47625"/>
          <a:ext cx="1670050" cy="701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31750</xdr:colOff>
      <xdr:row>0</xdr:row>
      <xdr:rowOff>0</xdr:rowOff>
    </xdr:from>
    <xdr:to>
      <xdr:col>3</xdr:col>
      <xdr:colOff>854075</xdr:colOff>
      <xdr:row>1</xdr:row>
      <xdr:rowOff>171101</xdr:rowOff>
    </xdr:to>
    <xdr:pic>
      <xdr:nvPicPr>
        <xdr:cNvPr id="2" name="Image 1">
          <a:extLst>
            <a:ext uri="{FF2B5EF4-FFF2-40B4-BE49-F238E27FC236}">
              <a16:creationId xmlns:a16="http://schemas.microsoft.com/office/drawing/2014/main" id="{A53578F8-F311-419F-B063-4CF6D6441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0"/>
          <a:ext cx="1666875" cy="698151"/>
        </a:xfrm>
        <a:prstGeom prst="rect">
          <a:avLst/>
        </a:prstGeom>
      </xdr:spPr>
    </xdr:pic>
    <xdr:clientData/>
  </xdr:twoCellAnchor>
  <xdr:twoCellAnchor editAs="oneCell">
    <xdr:from>
      <xdr:col>31</xdr:col>
      <xdr:colOff>730250</xdr:colOff>
      <xdr:row>0</xdr:row>
      <xdr:rowOff>41276</xdr:rowOff>
    </xdr:from>
    <xdr:to>
      <xdr:col>33</xdr:col>
      <xdr:colOff>758825</xdr:colOff>
      <xdr:row>1</xdr:row>
      <xdr:rowOff>167679</xdr:rowOff>
    </xdr:to>
    <xdr:pic>
      <xdr:nvPicPr>
        <xdr:cNvPr id="3" name="Image 2">
          <a:extLst>
            <a:ext uri="{FF2B5EF4-FFF2-40B4-BE49-F238E27FC236}">
              <a16:creationId xmlns:a16="http://schemas.microsoft.com/office/drawing/2014/main" id="{5028E481-A309-479A-A5DD-5F6275CFF1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3100" y="41276"/>
          <a:ext cx="1552575" cy="6471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911225</xdr:colOff>
      <xdr:row>1</xdr:row>
      <xdr:rowOff>53626</xdr:rowOff>
    </xdr:to>
    <xdr:pic>
      <xdr:nvPicPr>
        <xdr:cNvPr id="2" name="Image 1">
          <a:extLst>
            <a:ext uri="{FF2B5EF4-FFF2-40B4-BE49-F238E27FC236}">
              <a16:creationId xmlns:a16="http://schemas.microsoft.com/office/drawing/2014/main" id="{656C7B1B-7EFC-4F9B-970A-D922F485D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0" y="0"/>
          <a:ext cx="1666875" cy="701326"/>
        </a:xfrm>
        <a:prstGeom prst="rect">
          <a:avLst/>
        </a:prstGeom>
      </xdr:spPr>
    </xdr:pic>
    <xdr:clientData/>
  </xdr:twoCellAnchor>
  <xdr:twoCellAnchor editAs="oneCell">
    <xdr:from>
      <xdr:col>31</xdr:col>
      <xdr:colOff>587375</xdr:colOff>
      <xdr:row>0</xdr:row>
      <xdr:rowOff>60325</xdr:rowOff>
    </xdr:from>
    <xdr:to>
      <xdr:col>33</xdr:col>
      <xdr:colOff>739775</xdr:colOff>
      <xdr:row>2</xdr:row>
      <xdr:rowOff>34576</xdr:rowOff>
    </xdr:to>
    <xdr:pic>
      <xdr:nvPicPr>
        <xdr:cNvPr id="4" name="Image 3">
          <a:extLst>
            <a:ext uri="{FF2B5EF4-FFF2-40B4-BE49-F238E27FC236}">
              <a16:creationId xmlns:a16="http://schemas.microsoft.com/office/drawing/2014/main" id="{F323C70E-5839-4514-A5D2-3FD3D45F8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77575" y="60325"/>
          <a:ext cx="1676400" cy="7045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911225</xdr:colOff>
      <xdr:row>2</xdr:row>
      <xdr:rowOff>15526</xdr:rowOff>
    </xdr:to>
    <xdr:pic>
      <xdr:nvPicPr>
        <xdr:cNvPr id="2" name="Image 1">
          <a:extLst>
            <a:ext uri="{FF2B5EF4-FFF2-40B4-BE49-F238E27FC236}">
              <a16:creationId xmlns:a16="http://schemas.microsoft.com/office/drawing/2014/main" id="{245073EF-81A1-4A1F-96FD-C1A621740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600" y="0"/>
          <a:ext cx="1670050" cy="701326"/>
        </a:xfrm>
        <a:prstGeom prst="rect">
          <a:avLst/>
        </a:prstGeom>
      </xdr:spPr>
    </xdr:pic>
    <xdr:clientData/>
  </xdr:twoCellAnchor>
  <xdr:twoCellAnchor editAs="oneCell">
    <xdr:from>
      <xdr:col>31</xdr:col>
      <xdr:colOff>695325</xdr:colOff>
      <xdr:row>0</xdr:row>
      <xdr:rowOff>34925</xdr:rowOff>
    </xdr:from>
    <xdr:to>
      <xdr:col>34</xdr:col>
      <xdr:colOff>76200</xdr:colOff>
      <xdr:row>2</xdr:row>
      <xdr:rowOff>53626</xdr:rowOff>
    </xdr:to>
    <xdr:pic>
      <xdr:nvPicPr>
        <xdr:cNvPr id="3" name="Image 2">
          <a:extLst>
            <a:ext uri="{FF2B5EF4-FFF2-40B4-BE49-F238E27FC236}">
              <a16:creationId xmlns:a16="http://schemas.microsoft.com/office/drawing/2014/main" id="{7A9D1304-F275-4217-8689-D18873E9B6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83925" y="34925"/>
          <a:ext cx="1666875" cy="701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1673225</xdr:colOff>
      <xdr:row>1</xdr:row>
      <xdr:rowOff>53626</xdr:rowOff>
    </xdr:to>
    <xdr:pic>
      <xdr:nvPicPr>
        <xdr:cNvPr id="2" name="Image 1">
          <a:extLst>
            <a:ext uri="{FF2B5EF4-FFF2-40B4-BE49-F238E27FC236}">
              <a16:creationId xmlns:a16="http://schemas.microsoft.com/office/drawing/2014/main" id="{C6CC8123-B7D4-4B36-83EF-BB9C0B960C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0" y="0"/>
          <a:ext cx="1666875" cy="701326"/>
        </a:xfrm>
        <a:prstGeom prst="rect">
          <a:avLst/>
        </a:prstGeom>
      </xdr:spPr>
    </xdr:pic>
    <xdr:clientData/>
  </xdr:twoCellAnchor>
  <xdr:twoCellAnchor editAs="oneCell">
    <xdr:from>
      <xdr:col>31</xdr:col>
      <xdr:colOff>679450</xdr:colOff>
      <xdr:row>0</xdr:row>
      <xdr:rowOff>12700</xdr:rowOff>
    </xdr:from>
    <xdr:to>
      <xdr:col>34</xdr:col>
      <xdr:colOff>73025</xdr:colOff>
      <xdr:row>1</xdr:row>
      <xdr:rowOff>72676</xdr:rowOff>
    </xdr:to>
    <xdr:pic>
      <xdr:nvPicPr>
        <xdr:cNvPr id="3" name="Image 2">
          <a:extLst>
            <a:ext uri="{FF2B5EF4-FFF2-40B4-BE49-F238E27FC236}">
              <a16:creationId xmlns:a16="http://schemas.microsoft.com/office/drawing/2014/main" id="{22B25044-DB93-4316-AD7B-CDD2948C74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26900" y="12700"/>
          <a:ext cx="1670050" cy="701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1673225</xdr:colOff>
      <xdr:row>2</xdr:row>
      <xdr:rowOff>20024</xdr:rowOff>
    </xdr:to>
    <xdr:pic>
      <xdr:nvPicPr>
        <xdr:cNvPr id="2" name="Image 1">
          <a:extLst>
            <a:ext uri="{FF2B5EF4-FFF2-40B4-BE49-F238E27FC236}">
              <a16:creationId xmlns:a16="http://schemas.microsoft.com/office/drawing/2014/main" id="{EC3D7E3D-F44D-40DC-927C-3E723CFBE0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8" y="0"/>
          <a:ext cx="1666875" cy="701326"/>
        </a:xfrm>
        <a:prstGeom prst="rect">
          <a:avLst/>
        </a:prstGeom>
      </xdr:spPr>
    </xdr:pic>
    <xdr:clientData/>
  </xdr:twoCellAnchor>
  <xdr:twoCellAnchor editAs="oneCell">
    <xdr:from>
      <xdr:col>31</xdr:col>
      <xdr:colOff>681302</xdr:colOff>
      <xdr:row>0</xdr:row>
      <xdr:rowOff>0</xdr:rowOff>
    </xdr:from>
    <xdr:to>
      <xdr:col>34</xdr:col>
      <xdr:colOff>72497</xdr:colOff>
      <xdr:row>2</xdr:row>
      <xdr:rowOff>20024</xdr:rowOff>
    </xdr:to>
    <xdr:pic>
      <xdr:nvPicPr>
        <xdr:cNvPr id="3" name="Image 2">
          <a:extLst>
            <a:ext uri="{FF2B5EF4-FFF2-40B4-BE49-F238E27FC236}">
              <a16:creationId xmlns:a16="http://schemas.microsoft.com/office/drawing/2014/main" id="{689CB1F4-6611-4109-91A9-3E9A425472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82917" y="0"/>
          <a:ext cx="1670050" cy="701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P131\Les%20Sorties%20Rapides\Circulaire\Tableaux%20stock\Ann&#233;e%202015\12_d&#233;cembre\T2_Stock%201215.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N:\DSPR\PSN\Fiches%20sur%20les%20principaux%20chiffres%20du%20RG\Fiche%20TI%20et%20TS\2024\Sources\F17B_TSTI_STOCK_Principaux%20chiffres%202024.xlsx" TargetMode="External"/><Relationship Id="rId1" Type="http://schemas.openxmlformats.org/officeDocument/2006/relationships/externalLinkPath" Target="/DSPR/PSN/Fiches%20sur%20les%20principaux%20chiffres%20du%20RG/Fiche%20TI%20et%20TS/2024/Sources/F17B_TSTI_STOCK_Principaux%20chiffres%20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F17B_TSTI_STOCK_1221_Principaux%20chiffr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SPR/PSN/Fiches%20sur%20les%20principaux%20chiffres%20du%20RG/Fiche%20TI%20et%20TS/2022/Fiche%20stock%20TI%20TS%202022%20(version%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SPR\PSN\Les%20Sorties%20Rapides\Suivi%20mensuel\Tableaux%20suivi%20mensuel\Tableaux%20du%20texte\2019\Suivi%20Stock%20Retrait&#233;s%20en%20paiement_Tableau%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F17B_TSTI_STOCK_1222_Principaux%20chiff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EP131\Les%20Sorties%20Rapides\Circulaire\Tableaux%20stock\Ann&#233;e%202014\12_d&#233;cembre\T4_stockAC12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P131\Les%20Sorties%20Rapides\Circulaire\Tableaux%20stock\Ann&#233;e%202015\12_d&#233;cembre\T4_stockAC12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6\12_d&#233;cembre\T4_stockAC121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SPR/PSN/Fiches%20sur%20les%20principaux%20chiffres%20du%20RG/Fiche%20TI%20et%20TS/2025/Fiche%20stock%20TI%20TS%20202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SPR/PSN/Fiches%20sur%20les%20principaux%20chiffres%20du%20RG/Fiche%20TI%20et%20TS/2025/Sources/F17B_TSTI_STOCK_Principaux%20chi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6\12_d&#233;cembre\T2_Stock%2012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7\T2_Stock%20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8\F12D10ST2019.xl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DSPR\PSN\Fiches%20sur%20les%20principaux%20chiffres%20du%20RG\Fiche%20TI%20et%20TS\2024\Fiche%20stock%20TI%20TS%202024.xlsx" TargetMode="External"/><Relationship Id="rId1" Type="http://schemas.openxmlformats.org/officeDocument/2006/relationships/externalLinkPath" Target="/DSPR/PSN/Fiches%20sur%20les%20principaux%20chiffres%20du%20RG/Fiche%20TI%20et%20TS/2024/Fiche%20stock%20TI%20TS%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7\12_d&#233;cembre\T2_Stock%2012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SPR\PSN\Les%20Sorties%20Rapides\Circulaire\Tableaux%20stock\Ann&#233;e%202018\F12D10ST20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SPR\PSN\LABELLISATION%20DES%20S&#201;RIES%20STATISTIQUES\STOCK\S&#233;ries%20STOCK%20&#224;%20compter%20de%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F17B_TSTI_STOCK_1223_Principaux%20chiff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ow r="10">
          <cell r="T10">
            <v>5445888</v>
          </cell>
        </row>
        <row r="11">
          <cell r="T11">
            <v>330492</v>
          </cell>
        </row>
        <row r="19">
          <cell r="T19">
            <v>77</v>
          </cell>
        </row>
        <row r="23">
          <cell r="T23">
            <v>31878</v>
          </cell>
        </row>
      </sheetData>
      <sheetData sheetId="1">
        <row r="10">
          <cell r="T10">
            <v>5559743</v>
          </cell>
        </row>
        <row r="11">
          <cell r="T11">
            <v>401761</v>
          </cell>
        </row>
        <row r="12">
          <cell r="T12">
            <v>925714</v>
          </cell>
        </row>
        <row r="19">
          <cell r="T19">
            <v>789</v>
          </cell>
        </row>
        <row r="23">
          <cell r="T23">
            <v>781898</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ntaires"/>
      <sheetName val="Effectifs DP_DD"/>
      <sheetName val="Pyramide des âges"/>
      <sheetName val="Compléments de pension"/>
      <sheetName val="Montants"/>
      <sheetName val="Prélèvements sociaux"/>
    </sheetNames>
    <sheetDataSet>
      <sheetData sheetId="0"/>
      <sheetData sheetId="1">
        <row r="26">
          <cell r="D26">
            <v>22680</v>
          </cell>
          <cell r="E26">
            <v>412150</v>
          </cell>
        </row>
      </sheetData>
      <sheetData sheetId="2"/>
      <sheetData sheetId="3"/>
      <sheetData sheetId="4">
        <row r="8">
          <cell r="C8">
            <v>978.16709614919898</v>
          </cell>
          <cell r="E8">
            <v>778.29270260511396</v>
          </cell>
          <cell r="G8">
            <v>866.29100707523605</v>
          </cell>
        </row>
        <row r="9">
          <cell r="C9">
            <v>981.61434350181696</v>
          </cell>
          <cell r="E9">
            <v>814.77460724881996</v>
          </cell>
          <cell r="G9">
            <v>891.26882974203897</v>
          </cell>
        </row>
        <row r="12">
          <cell r="C12">
            <v>238.99532161139501</v>
          </cell>
          <cell r="E12">
            <v>330.37710294203799</v>
          </cell>
          <cell r="G12">
            <v>326.15171072575703</v>
          </cell>
        </row>
        <row r="13">
          <cell r="C13">
            <v>1372.8136366162801</v>
          </cell>
          <cell r="E13">
            <v>1201.95127253945</v>
          </cell>
          <cell r="G13">
            <v>1290.6016441034001</v>
          </cell>
        </row>
        <row r="15">
          <cell r="C15">
            <v>946.79145806203098</v>
          </cell>
          <cell r="E15">
            <v>690.187615677449</v>
          </cell>
          <cell r="G15">
            <v>807.83771422602501</v>
          </cell>
        </row>
        <row r="16">
          <cell r="C16">
            <v>229.319805729547</v>
          </cell>
          <cell r="E16">
            <v>312.30983695936999</v>
          </cell>
          <cell r="G16">
            <v>308.47246996037802</v>
          </cell>
        </row>
        <row r="17">
          <cell r="C17">
            <v>281.33235163738198</v>
          </cell>
          <cell r="E17">
            <v>437.23814473783199</v>
          </cell>
          <cell r="G17">
            <v>422.18802824006002</v>
          </cell>
        </row>
        <row r="18">
          <cell r="C18">
            <v>274.39586048542998</v>
          </cell>
          <cell r="E18">
            <v>405.599102866301</v>
          </cell>
          <cell r="G18">
            <v>394.53810563060199</v>
          </cell>
        </row>
        <row r="19">
          <cell r="C19">
            <v>1361.8406956557701</v>
          </cell>
          <cell r="E19">
            <v>1122.5786491968099</v>
          </cell>
          <cell r="G19">
            <v>1246.7175690480999</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sheetName val="Effectifs DP_DD"/>
      <sheetName val="Pyramide des âges"/>
      <sheetName val="Compléments de pension"/>
      <sheetName val="Montants"/>
      <sheetName val="Prélèvements sociaux"/>
    </sheetNames>
    <sheetDataSet>
      <sheetData sheetId="0"/>
      <sheetData sheetId="1"/>
      <sheetData sheetId="2"/>
      <sheetData sheetId="3"/>
      <sheetData sheetId="4">
        <row r="14">
          <cell r="C14">
            <v>1207.3459153666381</v>
          </cell>
          <cell r="E14">
            <v>1047.2653440955462</v>
          </cell>
          <cell r="G14">
            <v>1132.7078649815367</v>
          </cell>
        </row>
        <row r="18">
          <cell r="C18">
            <v>240.61145380757605</v>
          </cell>
          <cell r="E18">
            <v>385.57335914508212</v>
          </cell>
          <cell r="G18">
            <v>372.36018551135038</v>
          </cell>
        </row>
        <row r="19">
          <cell r="C19">
            <v>234.40716055843296</v>
          </cell>
          <cell r="E19">
            <v>359.47049920507231</v>
          </cell>
          <cell r="G19">
            <v>349.58732801784635</v>
          </cell>
        </row>
      </sheetData>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to"/>
      <sheetName val="verso"/>
      <sheetName val="Résidence"/>
      <sheetName val="Pyramide des âges"/>
      <sheetName val="Bandeau"/>
    </sheetNames>
    <sheetDataSet>
      <sheetData sheetId="0">
        <row r="23">
          <cell r="E23">
            <v>30477</v>
          </cell>
        </row>
        <row r="52">
          <cell r="D52">
            <v>5584128</v>
          </cell>
          <cell r="E52">
            <v>2400430</v>
          </cell>
          <cell r="F52">
            <v>3183698</v>
          </cell>
        </row>
        <row r="53">
          <cell r="D53">
            <v>3057</v>
          </cell>
          <cell r="E53">
            <v>369</v>
          </cell>
          <cell r="F53">
            <v>2688</v>
          </cell>
        </row>
        <row r="54">
          <cell r="D54">
            <v>16249</v>
          </cell>
          <cell r="E54">
            <v>8804</v>
          </cell>
          <cell r="F54">
            <v>7445</v>
          </cell>
        </row>
        <row r="55">
          <cell r="D55">
            <v>76750</v>
          </cell>
          <cell r="E55">
            <v>44940</v>
          </cell>
          <cell r="F55">
            <v>31810</v>
          </cell>
        </row>
        <row r="56">
          <cell r="D56">
            <v>4237</v>
          </cell>
          <cell r="E56">
            <v>4188</v>
          </cell>
          <cell r="F56">
            <v>49</v>
          </cell>
        </row>
        <row r="57">
          <cell r="D57">
            <v>8010</v>
          </cell>
          <cell r="E57">
            <v>7962</v>
          </cell>
          <cell r="F57">
            <v>48</v>
          </cell>
        </row>
        <row r="58">
          <cell r="D58">
            <v>97007</v>
          </cell>
          <cell r="E58">
            <v>65052</v>
          </cell>
          <cell r="F58">
            <v>31955</v>
          </cell>
        </row>
        <row r="60">
          <cell r="E60">
            <v>255305</v>
          </cell>
          <cell r="F60">
            <v>324707</v>
          </cell>
        </row>
        <row r="61">
          <cell r="E61">
            <v>143</v>
          </cell>
          <cell r="F61">
            <v>21</v>
          </cell>
        </row>
        <row r="62">
          <cell r="E62">
            <v>764</v>
          </cell>
          <cell r="F62">
            <v>162</v>
          </cell>
        </row>
        <row r="63">
          <cell r="E63">
            <v>256976</v>
          </cell>
          <cell r="F63">
            <v>325052</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verso 1"/>
      <sheetName val="Montants"/>
      <sheetName val="Données Compléments pensions"/>
      <sheetName val="Données DP DD"/>
    </sheetNames>
    <sheetDataSet>
      <sheetData sheetId="0" refreshError="1">
        <row r="25">
          <cell r="F25">
            <v>2331</v>
          </cell>
          <cell r="G25">
            <v>290913</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sheetName val="Effectifs DP_DD"/>
      <sheetName val="Pyramide des âges"/>
      <sheetName val="Compléments de pension"/>
      <sheetName val="Montants"/>
      <sheetName val="Prélèvements sociaux"/>
    </sheetNames>
    <sheetDataSet>
      <sheetData sheetId="0"/>
      <sheetData sheetId="1">
        <row r="25">
          <cell r="D25">
            <v>1302199</v>
          </cell>
        </row>
      </sheetData>
      <sheetData sheetId="2"/>
      <sheetData sheetId="3">
        <row r="10">
          <cell r="C10">
            <v>52115</v>
          </cell>
          <cell r="D10">
            <v>926</v>
          </cell>
        </row>
      </sheetData>
      <sheetData sheetId="4">
        <row r="15">
          <cell r="C15">
            <v>209.13675985169144</v>
          </cell>
          <cell r="E15">
            <v>298.2277588747915</v>
          </cell>
          <cell r="G15">
            <v>294.31190962136992</v>
          </cell>
        </row>
        <row r="16">
          <cell r="C16">
            <v>257.85075678440342</v>
          </cell>
          <cell r="E16">
            <v>407.52278360105748</v>
          </cell>
          <cell r="G16">
            <v>393.67379404909536</v>
          </cell>
        </row>
        <row r="17">
          <cell r="C17">
            <v>251.22418686341285</v>
          </cell>
          <cell r="E17">
            <v>379.23534179091308</v>
          </cell>
          <cell r="G17">
            <v>368.93857517004903</v>
          </cell>
        </row>
      </sheetData>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2">
          <cell r="R12">
            <v>112309</v>
          </cell>
        </row>
      </sheetData>
      <sheetData sheetId="1" refreshError="1">
        <row r="12">
          <cell r="R12">
            <v>1234</v>
          </cell>
        </row>
      </sheetData>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2">
          <cell r="R12">
            <v>104419</v>
          </cell>
        </row>
        <row r="13">
          <cell r="R13">
            <v>2443576</v>
          </cell>
        </row>
        <row r="14">
          <cell r="R14">
            <v>527</v>
          </cell>
        </row>
        <row r="15">
          <cell r="R15">
            <v>9481</v>
          </cell>
        </row>
      </sheetData>
      <sheetData sheetId="1" refreshError="1">
        <row r="12">
          <cell r="R12">
            <v>1121</v>
          </cell>
        </row>
        <row r="13">
          <cell r="R13">
            <v>3100424</v>
          </cell>
        </row>
        <row r="14">
          <cell r="R14">
            <v>5251</v>
          </cell>
        </row>
        <row r="15">
          <cell r="R15">
            <v>8312</v>
          </cell>
        </row>
      </sheetData>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3">
          <cell r="R13">
            <v>2445466</v>
          </cell>
        </row>
        <row r="14">
          <cell r="R14">
            <v>503</v>
          </cell>
        </row>
        <row r="15">
          <cell r="R15">
            <v>9166</v>
          </cell>
        </row>
      </sheetData>
      <sheetData sheetId="1" refreshError="1">
        <row r="15">
          <cell r="R15">
            <v>8052</v>
          </cell>
        </row>
      </sheetData>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to"/>
      <sheetName val="verso"/>
      <sheetName val="Résidence"/>
      <sheetName val="Pyramide des âges"/>
    </sheetNames>
    <sheetDataSet>
      <sheetData sheetId="0">
        <row r="9">
          <cell r="E9">
            <v>6815624</v>
          </cell>
          <cell r="F9">
            <v>8079220</v>
          </cell>
        </row>
        <row r="10">
          <cell r="E10">
            <v>5991274</v>
          </cell>
          <cell r="F10">
            <v>6728205</v>
          </cell>
        </row>
        <row r="11">
          <cell r="E11">
            <v>395428</v>
          </cell>
          <cell r="F11">
            <v>556294</v>
          </cell>
        </row>
        <row r="12">
          <cell r="E12">
            <v>428904</v>
          </cell>
          <cell r="F12">
            <v>794544</v>
          </cell>
        </row>
        <row r="21">
          <cell r="E21">
            <v>31968</v>
          </cell>
          <cell r="F21">
            <v>640638</v>
          </cell>
        </row>
        <row r="22">
          <cell r="E22">
            <v>209716</v>
          </cell>
          <cell r="F22">
            <v>1916244</v>
          </cell>
        </row>
        <row r="32">
          <cell r="C32">
            <v>74.445991171789601</v>
          </cell>
        </row>
        <row r="33">
          <cell r="C33">
            <v>75.795770917373005</v>
          </cell>
        </row>
        <row r="34">
          <cell r="C34">
            <v>75.202048696478499</v>
          </cell>
        </row>
        <row r="40">
          <cell r="E40">
            <v>1627651</v>
          </cell>
          <cell r="F40">
            <v>734245</v>
          </cell>
        </row>
        <row r="41">
          <cell r="E41">
            <v>25206</v>
          </cell>
          <cell r="F41">
            <v>14294</v>
          </cell>
        </row>
        <row r="42">
          <cell r="E42">
            <v>43319</v>
          </cell>
          <cell r="F42">
            <v>9809</v>
          </cell>
        </row>
        <row r="43">
          <cell r="E43">
            <v>30396</v>
          </cell>
          <cell r="F43">
            <v>19093</v>
          </cell>
        </row>
        <row r="47">
          <cell r="E47">
            <v>1215564</v>
          </cell>
          <cell r="F47">
            <v>3324653</v>
          </cell>
        </row>
        <row r="52">
          <cell r="E52">
            <v>2386148</v>
          </cell>
          <cell r="F52">
            <v>3213596</v>
          </cell>
        </row>
        <row r="53">
          <cell r="E53">
            <v>303</v>
          </cell>
          <cell r="F53">
            <v>2235</v>
          </cell>
        </row>
        <row r="54">
          <cell r="E54">
            <v>32364</v>
          </cell>
          <cell r="F54">
            <v>639</v>
          </cell>
        </row>
        <row r="55">
          <cell r="E55">
            <v>8228</v>
          </cell>
          <cell r="F55">
            <v>7027</v>
          </cell>
        </row>
        <row r="57">
          <cell r="E57">
            <v>31434</v>
          </cell>
          <cell r="F57">
            <v>22089</v>
          </cell>
        </row>
        <row r="58">
          <cell r="E58">
            <v>2393</v>
          </cell>
          <cell r="F58">
            <v>26</v>
          </cell>
        </row>
        <row r="59">
          <cell r="E59">
            <v>4234</v>
          </cell>
          <cell r="F59">
            <v>33</v>
          </cell>
        </row>
        <row r="60">
          <cell r="D60">
            <v>64476</v>
          </cell>
          <cell r="E60">
            <v>42295</v>
          </cell>
          <cell r="F60">
            <v>22181</v>
          </cell>
        </row>
        <row r="62">
          <cell r="E62">
            <v>292246</v>
          </cell>
          <cell r="F62">
            <v>378082</v>
          </cell>
        </row>
        <row r="63">
          <cell r="E63">
            <v>89</v>
          </cell>
          <cell r="F63">
            <v>19</v>
          </cell>
        </row>
        <row r="64">
          <cell r="E64">
            <v>464</v>
          </cell>
          <cell r="F64">
            <v>106</v>
          </cell>
        </row>
        <row r="65">
          <cell r="E65">
            <v>293263</v>
          </cell>
          <cell r="F65">
            <v>378313</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sheetName val="Effectifs DP_DD"/>
      <sheetName val="Pyramide des âges"/>
      <sheetName val="Compléments de pension"/>
      <sheetName val="Montants"/>
      <sheetName val="Prélèvements sociaux"/>
    </sheetNames>
    <sheetDataSet>
      <sheetData sheetId="0"/>
      <sheetData sheetId="1">
        <row r="26">
          <cell r="D26">
            <v>23095</v>
          </cell>
          <cell r="E26">
            <v>410598</v>
          </cell>
        </row>
      </sheetData>
      <sheetData sheetId="2"/>
      <sheetData sheetId="3"/>
      <sheetData sheetId="4">
        <row r="8">
          <cell r="C8">
            <v>1005.09922623456</v>
          </cell>
          <cell r="E8">
            <v>801.40162472714098</v>
          </cell>
          <cell r="G8">
            <v>891.00127441295399</v>
          </cell>
        </row>
        <row r="9">
          <cell r="C9">
            <v>1008.66004965063</v>
          </cell>
          <cell r="E9">
            <v>838.47174418074599</v>
          </cell>
          <cell r="G9">
            <v>916.34698069077297</v>
          </cell>
        </row>
        <row r="12">
          <cell r="C12">
            <v>245.926505568068</v>
          </cell>
          <cell r="E12">
            <v>333.90258393976001</v>
          </cell>
          <cell r="G12">
            <v>329.72120691757101</v>
          </cell>
        </row>
        <row r="13">
          <cell r="C13">
            <v>1411.5244511763899</v>
          </cell>
          <cell r="E13">
            <v>1234.8629118633501</v>
          </cell>
          <cell r="G13">
            <v>1325.78554497917</v>
          </cell>
        </row>
        <row r="15">
          <cell r="C15">
            <v>972.39579323918394</v>
          </cell>
          <cell r="E15">
            <v>711.440724571185</v>
          </cell>
          <cell r="G15">
            <v>830.84926815414599</v>
          </cell>
        </row>
        <row r="16">
          <cell r="C16">
            <v>236.27016954454501</v>
          </cell>
          <cell r="E16">
            <v>316.154464502574</v>
          </cell>
          <cell r="G16">
            <v>312.35767835850402</v>
          </cell>
        </row>
        <row r="17">
          <cell r="C17">
            <v>289.84907856338998</v>
          </cell>
          <cell r="E17">
            <v>448.25282920651102</v>
          </cell>
          <cell r="G17">
            <v>432.62704087094897</v>
          </cell>
        </row>
        <row r="18">
          <cell r="C18">
            <v>282.76209488422899</v>
          </cell>
          <cell r="E18">
            <v>415.15500452504301</v>
          </cell>
          <cell r="G18">
            <v>403.72156040629602</v>
          </cell>
        </row>
        <row r="19">
          <cell r="C19">
            <v>1400.3643643606499</v>
          </cell>
          <cell r="E19">
            <v>1153.12148618129</v>
          </cell>
          <cell r="G19">
            <v>1280.3703123299599</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0">
          <cell r="T10">
            <v>5445888</v>
          </cell>
        </row>
        <row r="11">
          <cell r="T11">
            <v>330245</v>
          </cell>
        </row>
        <row r="19">
          <cell r="T19">
            <v>67</v>
          </cell>
        </row>
        <row r="23">
          <cell r="T23">
            <v>32021</v>
          </cell>
        </row>
      </sheetData>
      <sheetData sheetId="1" refreshError="1">
        <row r="10">
          <cell r="T10">
            <v>5685415</v>
          </cell>
        </row>
        <row r="11">
          <cell r="T11">
            <v>408244</v>
          </cell>
        </row>
        <row r="12">
          <cell r="T12">
            <v>905925</v>
          </cell>
        </row>
        <row r="19">
          <cell r="T19">
            <v>685</v>
          </cell>
        </row>
        <row r="23">
          <cell r="T23">
            <v>768861</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22">
          <cell r="T22">
            <v>6267116</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22">
          <cell r="T22">
            <v>6339514</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to"/>
      <sheetName val="verso"/>
      <sheetName val="Résidence"/>
      <sheetName val="Pyramide des âges"/>
    </sheetNames>
    <sheetDataSet>
      <sheetData sheetId="0">
        <row r="9">
          <cell r="E9">
            <v>6743842</v>
          </cell>
          <cell r="F9">
            <v>7964992</v>
          </cell>
        </row>
        <row r="10">
          <cell r="E10">
            <v>5931930</v>
          </cell>
          <cell r="F10">
            <v>6627368</v>
          </cell>
        </row>
        <row r="11">
          <cell r="E11">
            <v>387744</v>
          </cell>
          <cell r="F11">
            <v>537391</v>
          </cell>
        </row>
        <row r="12">
          <cell r="E12">
            <v>424147</v>
          </cell>
          <cell r="F12">
            <v>800025</v>
          </cell>
        </row>
        <row r="21">
          <cell r="E21">
            <v>31451</v>
          </cell>
          <cell r="F21">
            <v>648734</v>
          </cell>
        </row>
        <row r="22">
          <cell r="E22">
            <v>204381</v>
          </cell>
          <cell r="F22">
            <v>1912824</v>
          </cell>
        </row>
        <row r="32">
          <cell r="C32">
            <v>74.280884519682303</v>
          </cell>
        </row>
        <row r="33">
          <cell r="C33">
            <v>75.670079944500401</v>
          </cell>
        </row>
        <row r="34">
          <cell r="C34">
            <v>75.058461618638205</v>
          </cell>
        </row>
        <row r="40">
          <cell r="E40">
            <v>1568437</v>
          </cell>
          <cell r="F40">
            <v>701226</v>
          </cell>
        </row>
        <row r="41">
          <cell r="E41">
            <v>23876</v>
          </cell>
          <cell r="F41">
            <v>13509</v>
          </cell>
        </row>
        <row r="42">
          <cell r="E42">
            <v>42438</v>
          </cell>
          <cell r="F42">
            <v>9603</v>
          </cell>
        </row>
        <row r="43">
          <cell r="E43">
            <v>27229</v>
          </cell>
          <cell r="F43">
            <v>17110</v>
          </cell>
        </row>
        <row r="47">
          <cell r="E47">
            <v>1243513</v>
          </cell>
          <cell r="F47">
            <v>3361751</v>
          </cell>
        </row>
        <row r="52">
          <cell r="E52">
            <v>2390827</v>
          </cell>
          <cell r="F52">
            <v>3204601</v>
          </cell>
        </row>
        <row r="53">
          <cell r="E53">
            <v>311</v>
          </cell>
          <cell r="F53">
            <v>2390</v>
          </cell>
        </row>
        <row r="54">
          <cell r="E54">
            <v>38987</v>
          </cell>
          <cell r="F54">
            <v>713</v>
          </cell>
        </row>
        <row r="55">
          <cell r="E55">
            <v>8494</v>
          </cell>
          <cell r="F55">
            <v>7160</v>
          </cell>
        </row>
        <row r="57">
          <cell r="E57">
            <v>35823</v>
          </cell>
          <cell r="F57">
            <v>25059</v>
          </cell>
        </row>
        <row r="58">
          <cell r="E58">
            <v>3050</v>
          </cell>
          <cell r="F58">
            <v>32</v>
          </cell>
        </row>
        <row r="59">
          <cell r="E59">
            <v>5595</v>
          </cell>
          <cell r="F59">
            <v>36</v>
          </cell>
        </row>
        <row r="60">
          <cell r="D60">
            <v>75226</v>
          </cell>
          <cell r="E60">
            <v>50063</v>
          </cell>
          <cell r="F60">
            <v>25163</v>
          </cell>
        </row>
        <row r="62">
          <cell r="E62">
            <v>279481</v>
          </cell>
          <cell r="F62">
            <v>360208</v>
          </cell>
        </row>
        <row r="63">
          <cell r="E63">
            <v>108</v>
          </cell>
          <cell r="F63">
            <v>19</v>
          </cell>
        </row>
        <row r="64">
          <cell r="E64">
            <v>558</v>
          </cell>
          <cell r="F64">
            <v>114</v>
          </cell>
        </row>
        <row r="65">
          <cell r="E65">
            <v>280705</v>
          </cell>
          <cell r="F65">
            <v>360455</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0">
          <cell r="T10">
            <v>5495067</v>
          </cell>
        </row>
        <row r="11">
          <cell r="T11">
            <v>334240</v>
          </cell>
        </row>
        <row r="23">
          <cell r="T23">
            <v>31961</v>
          </cell>
        </row>
      </sheetData>
      <sheetData sheetId="1" refreshError="1">
        <row r="10">
          <cell r="T10">
            <v>5804198</v>
          </cell>
        </row>
        <row r="11">
          <cell r="T11">
            <v>420503</v>
          </cell>
        </row>
        <row r="12">
          <cell r="T12">
            <v>887337</v>
          </cell>
        </row>
        <row r="19">
          <cell r="T19">
            <v>587</v>
          </cell>
        </row>
        <row r="23">
          <cell r="T23">
            <v>727832</v>
          </cell>
        </row>
      </sheetData>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mes"/>
      <sheetName val="Femmes"/>
      <sheetName val="H + F"/>
      <sheetName val="Mois"/>
    </sheetNames>
    <sheetDataSet>
      <sheetData sheetId="0" refreshError="1">
        <row r="10">
          <cell r="T10">
            <v>5567420</v>
          </cell>
        </row>
        <row r="11">
          <cell r="T11">
            <v>340604</v>
          </cell>
        </row>
        <row r="23">
          <cell r="T23">
            <v>31993</v>
          </cell>
        </row>
      </sheetData>
      <sheetData sheetId="1" refreshError="1">
        <row r="10">
          <cell r="T10">
            <v>5941523</v>
          </cell>
        </row>
        <row r="11">
          <cell r="T11">
            <v>435957</v>
          </cell>
        </row>
        <row r="12">
          <cell r="T12">
            <v>871755</v>
          </cell>
        </row>
        <row r="19">
          <cell r="T19">
            <v>503</v>
          </cell>
        </row>
        <row r="23">
          <cell r="T23">
            <v>731175</v>
          </cell>
        </row>
      </sheetData>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raités en paiement au 31-12"/>
      <sheetName val="Äges moyens au 31 décembre"/>
      <sheetName val="Montants globaux des pensions"/>
      <sheetName val="Montants moyens D. direct"/>
      <sheetName val="Montants moyens D. dérivés"/>
      <sheetName val="Bénéficiaires de droit dérivé"/>
      <sheetName val="Pensions portées au minimum"/>
      <sheetName val="compléments de pension "/>
      <sheetName val="Minimum vieillesse"/>
      <sheetName val="proportion polypensionnés "/>
    </sheetNames>
    <sheetDataSet>
      <sheetData sheetId="0" refreshError="1">
        <row r="14">
          <cell r="Q14">
            <v>31878</v>
          </cell>
          <cell r="R14">
            <v>32021</v>
          </cell>
          <cell r="S14">
            <v>31961</v>
          </cell>
          <cell r="T14">
            <v>31993</v>
          </cell>
          <cell r="U14">
            <v>32429</v>
          </cell>
        </row>
        <row r="18">
          <cell r="U18">
            <v>11224</v>
          </cell>
        </row>
        <row r="19">
          <cell r="U19">
            <v>5931</v>
          </cell>
        </row>
        <row r="28">
          <cell r="Q28">
            <v>781898</v>
          </cell>
          <cell r="R28">
            <v>768861</v>
          </cell>
          <cell r="S28">
            <v>727832</v>
          </cell>
          <cell r="T28">
            <v>731175</v>
          </cell>
          <cell r="U28">
            <v>734754</v>
          </cell>
        </row>
        <row r="31">
          <cell r="U31">
            <v>515292</v>
          </cell>
        </row>
        <row r="32">
          <cell r="U32">
            <v>6068</v>
          </cell>
        </row>
        <row r="33">
          <cell r="U33">
            <v>3450</v>
          </cell>
        </row>
        <row r="34">
          <cell r="U34">
            <v>8002</v>
          </cell>
        </row>
        <row r="35">
          <cell r="U35">
            <v>10005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sheetName val="Effectifs DP_DD"/>
      <sheetName val="Pyramide des âges"/>
      <sheetName val="Compléments de pension"/>
      <sheetName val="Montants"/>
      <sheetName val="Prélèvements sociaux"/>
    </sheetNames>
    <sheetDataSet>
      <sheetData sheetId="0"/>
      <sheetData sheetId="1"/>
      <sheetData sheetId="2"/>
      <sheetData sheetId="3">
        <row r="10">
          <cell r="E10">
            <v>46091</v>
          </cell>
        </row>
      </sheetData>
      <sheetData sheetId="4">
        <row r="8">
          <cell r="C8">
            <v>921.77988600158699</v>
          </cell>
        </row>
        <row r="16">
          <cell r="C16">
            <v>213.5059174001355</v>
          </cell>
          <cell r="E16">
            <v>298.48005903072345</v>
          </cell>
          <cell r="G16">
            <v>294.63951989671705</v>
          </cell>
        </row>
        <row r="17">
          <cell r="C17">
            <v>262.49058632736961</v>
          </cell>
          <cell r="E17">
            <v>412.65034488640964</v>
          </cell>
          <cell r="G17">
            <v>398.43814718241327</v>
          </cell>
        </row>
        <row r="18">
          <cell r="C18">
            <v>255.90766723136193</v>
          </cell>
          <cell r="E18">
            <v>383.4994888938075</v>
          </cell>
          <cell r="G18">
            <v>372.9713078564082</v>
          </cell>
        </row>
      </sheetData>
      <sheetData sheetId="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legislation.lassuranceretraite.fr/" TargetMode="External"/><Relationship Id="rId2" Type="http://schemas.openxmlformats.org/officeDocument/2006/relationships/hyperlink" Target="https://legislation.lassuranceretraite.fr/" TargetMode="External"/><Relationship Id="rId1" Type="http://schemas.openxmlformats.org/officeDocument/2006/relationships/hyperlink" Target="https://legislation.lassuranceretraite.fr/" TargetMode="External"/><Relationship Id="rId5" Type="http://schemas.openxmlformats.org/officeDocument/2006/relationships/drawing" Target="../drawings/drawing9.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legislation.lassuranceretraite.fr/" TargetMode="External"/><Relationship Id="rId7" Type="http://schemas.openxmlformats.org/officeDocument/2006/relationships/printerSettings" Target="../printerSettings/printerSettings2.bin"/><Relationship Id="rId2" Type="http://schemas.openxmlformats.org/officeDocument/2006/relationships/hyperlink" Target="https://legislation.lassuranceretraite.fr/" TargetMode="External"/><Relationship Id="rId1" Type="http://schemas.openxmlformats.org/officeDocument/2006/relationships/hyperlink" Target="https://legislation.lassuranceretraite.fr/" TargetMode="External"/><Relationship Id="rId6" Type="http://schemas.openxmlformats.org/officeDocument/2006/relationships/hyperlink" Target="https://legislation.lassuranceretraite.fr/" TargetMode="External"/><Relationship Id="rId5" Type="http://schemas.openxmlformats.org/officeDocument/2006/relationships/hyperlink" Target="https://legislation.lassuranceretraite.fr/" TargetMode="External"/><Relationship Id="rId4" Type="http://schemas.openxmlformats.org/officeDocument/2006/relationships/hyperlink" Target="https://legislation.lassuranceretraite.f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egislation.lassuranceretraite.fr/" TargetMode="External"/><Relationship Id="rId1" Type="http://schemas.openxmlformats.org/officeDocument/2006/relationships/hyperlink" Target="https://legislation.lassuranceretraite.fr/"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legislation.lassuranceretraite.f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legislation.lassuranceretraite.fr/" TargetMode="External"/><Relationship Id="rId1" Type="http://schemas.openxmlformats.org/officeDocument/2006/relationships/hyperlink" Target="https://legislation.lassuranceretraite.fr/"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s://legislation.lassuranceretraite.fr/" TargetMode="External"/><Relationship Id="rId7" Type="http://schemas.openxmlformats.org/officeDocument/2006/relationships/drawing" Target="../drawings/drawing8.xml"/><Relationship Id="rId2" Type="http://schemas.openxmlformats.org/officeDocument/2006/relationships/hyperlink" Target="https://legislation.lassuranceretraite.fr/" TargetMode="External"/><Relationship Id="rId1" Type="http://schemas.openxmlformats.org/officeDocument/2006/relationships/hyperlink" Target="https://legislation.lassuranceretraite.fr/" TargetMode="External"/><Relationship Id="rId6" Type="http://schemas.openxmlformats.org/officeDocument/2006/relationships/printerSettings" Target="../printerSettings/printerSettings9.bin"/><Relationship Id="rId5" Type="http://schemas.openxmlformats.org/officeDocument/2006/relationships/hyperlink" Target="https://legislation.lassuranceretraite.fr/" TargetMode="External"/><Relationship Id="rId4" Type="http://schemas.openxmlformats.org/officeDocument/2006/relationships/hyperlink" Target="https://legislation.lassuranceretrait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tabSelected="1" workbookViewId="0">
      <selection activeCell="A8" sqref="A8:J8"/>
    </sheetView>
  </sheetViews>
  <sheetFormatPr baseColWidth="10" defaultRowHeight="15" x14ac:dyDescent="0.25"/>
  <cols>
    <col min="1" max="1" width="11.85546875" customWidth="1"/>
    <col min="2" max="2" width="53.85546875" bestFit="1" customWidth="1"/>
    <col min="7" max="8" width="12.7109375" bestFit="1" customWidth="1"/>
  </cols>
  <sheetData>
    <row r="1" spans="1:10" x14ac:dyDescent="0.25">
      <c r="A1" s="220" t="s">
        <v>103</v>
      </c>
      <c r="B1" s="220"/>
      <c r="C1" s="220"/>
      <c r="D1" s="220"/>
      <c r="E1" s="220"/>
      <c r="F1" s="220"/>
      <c r="G1" s="220"/>
      <c r="H1" s="220"/>
      <c r="I1" s="220"/>
      <c r="J1" s="220"/>
    </row>
    <row r="3" spans="1:10" ht="42" customHeight="1" x14ac:dyDescent="0.25">
      <c r="A3" s="221" t="s">
        <v>88</v>
      </c>
      <c r="B3" s="221"/>
      <c r="C3" s="221"/>
      <c r="D3" s="221"/>
      <c r="E3" s="221"/>
      <c r="F3" s="221"/>
      <c r="G3" s="221"/>
      <c r="H3" s="221"/>
      <c r="I3" s="221"/>
      <c r="J3" s="221"/>
    </row>
    <row r="4" spans="1:10" ht="33" customHeight="1" x14ac:dyDescent="0.25">
      <c r="A4" s="224" t="s">
        <v>87</v>
      </c>
      <c r="B4" s="224"/>
      <c r="C4" s="224"/>
      <c r="D4" s="224"/>
      <c r="E4" s="224"/>
      <c r="F4" s="224"/>
      <c r="G4" s="224"/>
      <c r="H4" s="224"/>
      <c r="I4" s="224"/>
      <c r="J4" s="224"/>
    </row>
    <row r="5" spans="1:10" ht="82.5" customHeight="1" x14ac:dyDescent="0.25">
      <c r="A5" s="222" t="s">
        <v>100</v>
      </c>
      <c r="B5" s="222"/>
      <c r="C5" s="222"/>
      <c r="D5" s="222"/>
      <c r="E5" s="222"/>
      <c r="F5" s="222"/>
      <c r="G5" s="222"/>
      <c r="H5" s="222"/>
      <c r="I5" s="222"/>
      <c r="J5" s="222"/>
    </row>
    <row r="6" spans="1:10" ht="30.75" customHeight="1" x14ac:dyDescent="0.25">
      <c r="A6" s="222" t="s">
        <v>98</v>
      </c>
      <c r="B6" s="222"/>
      <c r="C6" s="222"/>
      <c r="D6" s="222"/>
      <c r="E6" s="222"/>
      <c r="F6" s="222"/>
      <c r="G6" s="222"/>
      <c r="H6" s="222"/>
      <c r="I6" s="222"/>
      <c r="J6" s="222"/>
    </row>
    <row r="7" spans="1:10" ht="30.75" customHeight="1" x14ac:dyDescent="0.25">
      <c r="A7" s="228" t="s">
        <v>124</v>
      </c>
      <c r="B7" s="228"/>
      <c r="C7" s="228"/>
      <c r="D7" s="228"/>
      <c r="E7" s="228"/>
      <c r="F7" s="228"/>
      <c r="G7" s="228"/>
      <c r="H7" s="228"/>
      <c r="I7" s="228"/>
      <c r="J7" s="228"/>
    </row>
    <row r="8" spans="1:10" ht="96" customHeight="1" x14ac:dyDescent="0.25">
      <c r="A8" s="225" t="s">
        <v>97</v>
      </c>
      <c r="B8" s="224"/>
      <c r="C8" s="224"/>
      <c r="D8" s="224"/>
      <c r="E8" s="224"/>
      <c r="F8" s="224"/>
      <c r="G8" s="224"/>
      <c r="H8" s="224"/>
      <c r="I8" s="224"/>
      <c r="J8" s="224"/>
    </row>
    <row r="10" spans="1:10" ht="15" customHeight="1" x14ac:dyDescent="0.25">
      <c r="A10" s="138"/>
      <c r="B10" s="136"/>
      <c r="C10" s="227"/>
      <c r="D10" s="227"/>
      <c r="E10" s="226"/>
      <c r="F10" s="226"/>
      <c r="G10" s="138"/>
      <c r="H10" s="138"/>
      <c r="I10" s="138"/>
      <c r="J10" s="138"/>
    </row>
    <row r="11" spans="1:10" x14ac:dyDescent="0.25">
      <c r="A11" s="138"/>
      <c r="B11" s="136"/>
      <c r="C11" s="227"/>
      <c r="D11" s="227"/>
      <c r="E11" s="226"/>
      <c r="F11" s="226"/>
      <c r="G11" s="138"/>
      <c r="H11" s="138"/>
      <c r="I11" s="138"/>
      <c r="J11" s="138"/>
    </row>
    <row r="12" spans="1:10" x14ac:dyDescent="0.25">
      <c r="A12" s="138"/>
      <c r="B12" s="137"/>
      <c r="C12" s="139"/>
      <c r="D12" s="140"/>
      <c r="E12" s="137"/>
      <c r="F12" s="137"/>
      <c r="G12" s="138"/>
      <c r="H12" s="138"/>
      <c r="I12" s="138"/>
      <c r="J12" s="138"/>
    </row>
    <row r="13" spans="1:10" x14ac:dyDescent="0.25">
      <c r="A13" s="138"/>
      <c r="B13" s="137"/>
      <c r="C13" s="139"/>
      <c r="D13" s="140"/>
      <c r="E13" s="137"/>
      <c r="F13" s="141"/>
      <c r="G13" s="142"/>
      <c r="H13" s="138"/>
      <c r="I13" s="138"/>
      <c r="J13" s="138"/>
    </row>
    <row r="14" spans="1:10" x14ac:dyDescent="0.25">
      <c r="A14" s="138"/>
      <c r="B14" s="137"/>
      <c r="C14" s="139"/>
      <c r="D14" s="140"/>
      <c r="E14" s="137"/>
      <c r="F14" s="141"/>
      <c r="G14" s="138"/>
      <c r="H14" s="142"/>
      <c r="I14" s="138"/>
      <c r="J14" s="138"/>
    </row>
    <row r="15" spans="1:10" x14ac:dyDescent="0.25">
      <c r="A15" s="138"/>
      <c r="B15" s="137"/>
      <c r="C15" s="139"/>
      <c r="D15" s="140"/>
      <c r="E15" s="137"/>
      <c r="F15" s="141"/>
      <c r="G15" s="138"/>
      <c r="H15" s="138"/>
      <c r="I15" s="138"/>
      <c r="J15" s="138"/>
    </row>
    <row r="16" spans="1:10" x14ac:dyDescent="0.25">
      <c r="A16" s="138"/>
      <c r="B16" s="138"/>
      <c r="C16" s="138"/>
      <c r="D16" s="138"/>
      <c r="E16" s="138"/>
      <c r="F16" s="138"/>
      <c r="G16" s="138"/>
      <c r="H16" s="138"/>
      <c r="I16" s="138"/>
      <c r="J16" s="138"/>
    </row>
    <row r="17" spans="1:10" x14ac:dyDescent="0.25">
      <c r="A17" s="223"/>
      <c r="B17" s="223"/>
      <c r="C17" s="223"/>
      <c r="D17" s="223"/>
      <c r="E17" s="223"/>
      <c r="F17" s="223"/>
      <c r="G17" s="223"/>
      <c r="H17" s="223"/>
      <c r="I17" s="223"/>
      <c r="J17" s="223"/>
    </row>
    <row r="18" spans="1:10" x14ac:dyDescent="0.25">
      <c r="A18" s="138"/>
      <c r="B18" s="138"/>
      <c r="C18" s="138"/>
      <c r="D18" s="138"/>
      <c r="E18" s="138"/>
      <c r="F18" s="138"/>
      <c r="G18" s="138"/>
      <c r="H18" s="138"/>
      <c r="I18" s="138"/>
      <c r="J18" s="138"/>
    </row>
  </sheetData>
  <mergeCells count="11">
    <mergeCell ref="A1:J1"/>
    <mergeCell ref="A3:J3"/>
    <mergeCell ref="A6:J6"/>
    <mergeCell ref="A17:J17"/>
    <mergeCell ref="A4:J4"/>
    <mergeCell ref="A5:J5"/>
    <mergeCell ref="A8:J8"/>
    <mergeCell ref="E10:E11"/>
    <mergeCell ref="C10:D11"/>
    <mergeCell ref="F10:F11"/>
    <mergeCell ref="A7:J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J56"/>
  <sheetViews>
    <sheetView topLeftCell="A4" zoomScale="96" zoomScaleNormal="96" workbookViewId="0">
      <pane xSplit="4" topLeftCell="E1" activePane="topRight" state="frozen"/>
      <selection pane="topRight" activeCell="AG21" sqref="AG21"/>
    </sheetView>
  </sheetViews>
  <sheetFormatPr baseColWidth="10" defaultColWidth="11.42578125" defaultRowHeight="14.25" x14ac:dyDescent="0.2"/>
  <cols>
    <col min="1" max="1" width="1" style="2" customWidth="1"/>
    <col min="2" max="2" width="4.28515625" style="1" customWidth="1"/>
    <col min="3" max="3" width="34.28515625" style="2" customWidth="1"/>
    <col min="4" max="4" width="32.28515625" style="2" customWidth="1"/>
    <col min="5" max="21" width="11.42578125" style="2" customWidth="1"/>
    <col min="22" max="22" width="6.7109375" style="2" customWidth="1"/>
    <col min="23" max="30" width="11.42578125" style="2"/>
    <col min="31" max="31" width="11.42578125" style="2" customWidth="1"/>
    <col min="32" max="16384" width="11.42578125" style="2"/>
  </cols>
  <sheetData>
    <row r="1" spans="2:36" ht="39" customHeight="1" x14ac:dyDescent="0.2"/>
    <row r="3" spans="2:36" ht="17.25" customHeight="1" x14ac:dyDescent="0.2">
      <c r="C3" s="190" t="s">
        <v>84</v>
      </c>
      <c r="D3" s="4"/>
      <c r="E3" s="5"/>
      <c r="F3" s="6"/>
    </row>
    <row r="4" spans="2:36" x14ac:dyDescent="0.2">
      <c r="C4" s="7"/>
      <c r="D4" s="8"/>
      <c r="E4" s="8"/>
      <c r="F4" s="8"/>
      <c r="G4" s="7"/>
      <c r="H4" s="7"/>
    </row>
    <row r="5" spans="2:36" ht="16.5" thickBot="1" x14ac:dyDescent="0.25">
      <c r="C5" s="48" t="s">
        <v>103</v>
      </c>
      <c r="D5" s="8"/>
      <c r="E5" s="8"/>
      <c r="F5" s="8"/>
      <c r="G5" s="7"/>
      <c r="H5" s="7"/>
    </row>
    <row r="6" spans="2:36" ht="30" customHeight="1" thickBot="1" x14ac:dyDescent="0.25">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2:36" s="12" customFormat="1" ht="19.149999999999999" customHeight="1" thickBot="1" x14ac:dyDescent="0.3">
      <c r="B7" s="9"/>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2:36" ht="15" thickBot="1" x14ac:dyDescent="0.25">
      <c r="C8" s="15"/>
      <c r="D8" s="15"/>
      <c r="E8" s="15"/>
      <c r="F8" s="15"/>
      <c r="G8" s="15"/>
      <c r="H8" s="15"/>
      <c r="I8" s="15"/>
      <c r="J8" s="15"/>
      <c r="K8" s="15"/>
      <c r="L8" s="15"/>
      <c r="M8" s="15"/>
      <c r="N8" s="15"/>
      <c r="O8" s="15"/>
      <c r="P8" s="15"/>
      <c r="Q8" s="15"/>
      <c r="R8" s="15"/>
      <c r="S8" s="15"/>
      <c r="T8" s="15"/>
      <c r="U8" s="15"/>
      <c r="W8" s="15"/>
      <c r="X8" s="15"/>
      <c r="Y8" s="15"/>
      <c r="Z8" s="15"/>
      <c r="AA8" s="15"/>
      <c r="AB8" s="15"/>
      <c r="AC8" s="15"/>
      <c r="AE8" s="15"/>
      <c r="AF8" s="15"/>
      <c r="AG8" s="15"/>
      <c r="AH8" s="15"/>
      <c r="AI8" s="15"/>
      <c r="AJ8" s="15"/>
    </row>
    <row r="9" spans="2:36" s="12" customFormat="1" ht="15" customHeight="1" thickTop="1" thickBot="1" x14ac:dyDescent="0.3">
      <c r="B9" s="304" t="s">
        <v>2</v>
      </c>
      <c r="C9" s="126" t="s">
        <v>112</v>
      </c>
      <c r="D9" s="202" t="s">
        <v>74</v>
      </c>
      <c r="E9" s="101">
        <v>164809</v>
      </c>
      <c r="F9" s="101">
        <v>166997</v>
      </c>
      <c r="G9" s="101">
        <v>172295</v>
      </c>
      <c r="H9" s="101">
        <v>174596</v>
      </c>
      <c r="I9" s="101">
        <v>176704</v>
      </c>
      <c r="J9" s="101">
        <v>180105</v>
      </c>
      <c r="K9" s="101">
        <v>186483</v>
      </c>
      <c r="L9" s="101">
        <v>189960</v>
      </c>
      <c r="M9" s="101">
        <v>190492</v>
      </c>
      <c r="N9" s="101">
        <v>188572</v>
      </c>
      <c r="O9" s="101">
        <v>188677</v>
      </c>
      <c r="P9" s="101">
        <v>191024</v>
      </c>
      <c r="Q9" s="101">
        <v>194453</v>
      </c>
      <c r="R9" s="101">
        <v>195509</v>
      </c>
      <c r="S9" s="101">
        <v>197037</v>
      </c>
      <c r="T9" s="101">
        <v>204782</v>
      </c>
      <c r="U9" s="101">
        <v>217712</v>
      </c>
      <c r="V9" s="204"/>
      <c r="W9" s="101">
        <v>223322</v>
      </c>
      <c r="X9" s="101">
        <v>237517</v>
      </c>
      <c r="Y9" s="101">
        <v>244892</v>
      </c>
      <c r="Z9" s="101">
        <f>[12]recto!$E$60</f>
        <v>255305</v>
      </c>
      <c r="AA9" s="101">
        <v>267970</v>
      </c>
      <c r="AB9" s="101">
        <f>[5]recto!$E$62</f>
        <v>279481</v>
      </c>
      <c r="AC9" s="101">
        <f>[18]recto!$E$62</f>
        <v>292246</v>
      </c>
      <c r="AE9" s="173">
        <f>X9/W9-1</f>
        <v>6.3562927073911313E-2</v>
      </c>
      <c r="AF9" s="173">
        <f>Y9/X9-1</f>
        <v>3.1050409023354097E-2</v>
      </c>
      <c r="AG9" s="173">
        <f>Z9/Y9-1</f>
        <v>4.2520784672426926E-2</v>
      </c>
      <c r="AH9" s="173">
        <f>AA9/Z9-1</f>
        <v>4.9607332406337523E-2</v>
      </c>
      <c r="AI9" s="206">
        <f>AB9/AA9-1</f>
        <v>4.2956301078479031E-2</v>
      </c>
      <c r="AJ9" s="206">
        <f>AC9/AB9-1</f>
        <v>4.5673945634944868E-2</v>
      </c>
    </row>
    <row r="10" spans="2:36" s="12" customFormat="1" ht="12.75" customHeight="1" thickBot="1" x14ac:dyDescent="0.3">
      <c r="B10" s="305"/>
      <c r="C10" s="203"/>
      <c r="D10" s="32" t="s">
        <v>75</v>
      </c>
      <c r="E10" s="23">
        <v>581</v>
      </c>
      <c r="F10" s="23">
        <v>562</v>
      </c>
      <c r="G10" s="23">
        <v>545</v>
      </c>
      <c r="H10" s="23">
        <v>518</v>
      </c>
      <c r="I10" s="23">
        <v>583</v>
      </c>
      <c r="J10" s="23">
        <v>584</v>
      </c>
      <c r="K10" s="23">
        <v>683</v>
      </c>
      <c r="L10" s="23">
        <v>683</v>
      </c>
      <c r="M10" s="23">
        <v>654</v>
      </c>
      <c r="N10" s="23">
        <v>447</v>
      </c>
      <c r="O10" s="23">
        <v>410</v>
      </c>
      <c r="P10" s="23">
        <v>371</v>
      </c>
      <c r="Q10" s="23">
        <v>336</v>
      </c>
      <c r="R10" s="23">
        <v>304</v>
      </c>
      <c r="S10" s="23">
        <v>263</v>
      </c>
      <c r="T10" s="23">
        <v>239</v>
      </c>
      <c r="U10" s="23">
        <v>212</v>
      </c>
      <c r="W10" s="23">
        <v>229</v>
      </c>
      <c r="X10" s="23">
        <v>205</v>
      </c>
      <c r="Y10" s="23">
        <v>168</v>
      </c>
      <c r="Z10" s="23">
        <f>[12]recto!$E$61</f>
        <v>143</v>
      </c>
      <c r="AA10" s="23">
        <v>129</v>
      </c>
      <c r="AB10" s="23">
        <f>[5]recto!$E$63</f>
        <v>108</v>
      </c>
      <c r="AC10" s="23">
        <f>[18]recto!$E$63</f>
        <v>89</v>
      </c>
      <c r="AE10" s="154">
        <f t="shared" ref="AE10:AE20" si="0">X10/W10-1</f>
        <v>-0.10480349344978168</v>
      </c>
      <c r="AF10" s="154">
        <f t="shared" ref="AF10:AJ20" si="1">Y10/X10-1</f>
        <v>-0.18048780487804883</v>
      </c>
      <c r="AG10" s="154">
        <f t="shared" si="1"/>
        <v>-0.14880952380952384</v>
      </c>
      <c r="AH10" s="154">
        <f t="shared" si="1"/>
        <v>-9.7902097902097918E-2</v>
      </c>
      <c r="AI10" s="168">
        <f t="shared" si="1"/>
        <v>-0.16279069767441856</v>
      </c>
      <c r="AJ10" s="168">
        <f t="shared" si="1"/>
        <v>-0.17592592592592593</v>
      </c>
    </row>
    <row r="11" spans="2:36" s="12" customFormat="1" ht="12.75" customHeight="1" thickBot="1" x14ac:dyDescent="0.3">
      <c r="B11" s="305"/>
      <c r="C11" s="20"/>
      <c r="D11" s="32" t="s">
        <v>76</v>
      </c>
      <c r="E11" s="23">
        <v>5930</v>
      </c>
      <c r="F11" s="23">
        <v>5497</v>
      </c>
      <c r="G11" s="23">
        <v>5051</v>
      </c>
      <c r="H11" s="23">
        <v>4593</v>
      </c>
      <c r="I11" s="23">
        <v>4146</v>
      </c>
      <c r="J11" s="23">
        <v>3473</v>
      </c>
      <c r="K11" s="23">
        <v>3437</v>
      </c>
      <c r="L11" s="23">
        <v>3109</v>
      </c>
      <c r="M11" s="23">
        <v>2810</v>
      </c>
      <c r="N11" s="23">
        <v>2626</v>
      </c>
      <c r="O11" s="23">
        <v>2333</v>
      </c>
      <c r="P11" s="23">
        <v>2056</v>
      </c>
      <c r="Q11" s="23">
        <v>1883</v>
      </c>
      <c r="R11" s="23">
        <v>1690</v>
      </c>
      <c r="S11" s="23">
        <v>1475</v>
      </c>
      <c r="T11" s="23">
        <v>1270</v>
      </c>
      <c r="U11" s="23">
        <v>1117</v>
      </c>
      <c r="W11" s="23">
        <v>1255</v>
      </c>
      <c r="X11" s="23">
        <v>1111</v>
      </c>
      <c r="Y11" s="23">
        <v>925</v>
      </c>
      <c r="Z11" s="23">
        <f>[12]recto!$E$62</f>
        <v>764</v>
      </c>
      <c r="AA11" s="23">
        <v>667</v>
      </c>
      <c r="AB11" s="23">
        <f>[5]recto!$E$64</f>
        <v>558</v>
      </c>
      <c r="AC11" s="23">
        <f>[18]recto!$E$64</f>
        <v>464</v>
      </c>
      <c r="AE11" s="154">
        <f t="shared" si="0"/>
        <v>-0.11474103585657369</v>
      </c>
      <c r="AF11" s="154">
        <f t="shared" si="1"/>
        <v>-0.16741674167416742</v>
      </c>
      <c r="AG11" s="154">
        <f t="shared" si="1"/>
        <v>-0.17405405405405405</v>
      </c>
      <c r="AH11" s="154">
        <f t="shared" si="1"/>
        <v>-0.12696335078534027</v>
      </c>
      <c r="AI11" s="168">
        <f t="shared" si="1"/>
        <v>-0.16341829085457271</v>
      </c>
      <c r="AJ11" s="168">
        <f t="shared" si="1"/>
        <v>-0.1684587813620072</v>
      </c>
    </row>
    <row r="12" spans="2:36" s="12" customFormat="1" ht="20.25" customHeight="1" thickBot="1" x14ac:dyDescent="0.3">
      <c r="B12" s="306"/>
      <c r="C12" s="118" t="s">
        <v>113</v>
      </c>
      <c r="D12" s="119"/>
      <c r="E12" s="120">
        <f t="shared" ref="E12:R12" si="2">E9+E10+2*E11</f>
        <v>177250</v>
      </c>
      <c r="F12" s="120">
        <f t="shared" si="2"/>
        <v>178553</v>
      </c>
      <c r="G12" s="120">
        <f t="shared" si="2"/>
        <v>182942</v>
      </c>
      <c r="H12" s="120">
        <f t="shared" si="2"/>
        <v>184300</v>
      </c>
      <c r="I12" s="120">
        <f t="shared" si="2"/>
        <v>185579</v>
      </c>
      <c r="J12" s="120">
        <f t="shared" si="2"/>
        <v>187635</v>
      </c>
      <c r="K12" s="120">
        <f t="shared" si="2"/>
        <v>194040</v>
      </c>
      <c r="L12" s="120">
        <f t="shared" si="2"/>
        <v>196861</v>
      </c>
      <c r="M12" s="120">
        <f t="shared" si="2"/>
        <v>196766</v>
      </c>
      <c r="N12" s="120">
        <f t="shared" si="2"/>
        <v>194271</v>
      </c>
      <c r="O12" s="120">
        <f t="shared" si="2"/>
        <v>193753</v>
      </c>
      <c r="P12" s="120">
        <f t="shared" si="2"/>
        <v>195507</v>
      </c>
      <c r="Q12" s="120">
        <f t="shared" si="2"/>
        <v>198555</v>
      </c>
      <c r="R12" s="120">
        <f t="shared" si="2"/>
        <v>199193</v>
      </c>
      <c r="S12" s="120">
        <v>200250</v>
      </c>
      <c r="T12" s="120">
        <v>207561</v>
      </c>
      <c r="U12" s="120">
        <f>U9+U10+2*U11</f>
        <v>220158</v>
      </c>
      <c r="W12" s="120">
        <v>226061</v>
      </c>
      <c r="X12" s="120">
        <v>239944</v>
      </c>
      <c r="Y12" s="120">
        <v>246910</v>
      </c>
      <c r="Z12" s="120">
        <f>[12]recto!$E$63</f>
        <v>256976</v>
      </c>
      <c r="AA12" s="120">
        <v>269433</v>
      </c>
      <c r="AB12" s="120">
        <f>[5]recto!$E$65</f>
        <v>280705</v>
      </c>
      <c r="AC12" s="120">
        <f>[18]recto!$E$65</f>
        <v>293263</v>
      </c>
      <c r="AE12" s="205">
        <f t="shared" si="0"/>
        <v>6.1412627565126332E-2</v>
      </c>
      <c r="AF12" s="205">
        <f t="shared" si="1"/>
        <v>2.9031774080618744E-2</v>
      </c>
      <c r="AG12" s="205">
        <f t="shared" si="1"/>
        <v>4.0767891134421363E-2</v>
      </c>
      <c r="AH12" s="205">
        <f t="shared" si="1"/>
        <v>4.8475344000996179E-2</v>
      </c>
      <c r="AI12" s="205">
        <f t="shared" si="1"/>
        <v>4.1836003756035911E-2</v>
      </c>
      <c r="AJ12" s="205">
        <f t="shared" si="1"/>
        <v>4.4737357724301319E-2</v>
      </c>
    </row>
    <row r="13" spans="2:36" s="12" customFormat="1" ht="12.75" customHeight="1" thickTop="1" thickBot="1" x14ac:dyDescent="0.3">
      <c r="B13" s="304" t="s">
        <v>11</v>
      </c>
      <c r="C13" s="126" t="s">
        <v>112</v>
      </c>
      <c r="D13" s="20" t="s">
        <v>74</v>
      </c>
      <c r="E13" s="23">
        <v>242411</v>
      </c>
      <c r="F13" s="23">
        <v>236416</v>
      </c>
      <c r="G13" s="23">
        <v>232022</v>
      </c>
      <c r="H13" s="23">
        <v>228771</v>
      </c>
      <c r="I13" s="23">
        <v>225186</v>
      </c>
      <c r="J13" s="23">
        <v>221980</v>
      </c>
      <c r="K13" s="23">
        <v>227349</v>
      </c>
      <c r="L13" s="23">
        <v>227595</v>
      </c>
      <c r="M13" s="23">
        <v>227584</v>
      </c>
      <c r="N13" s="23">
        <v>226544</v>
      </c>
      <c r="O13" s="23">
        <v>226842</v>
      </c>
      <c r="P13" s="23">
        <v>228881</v>
      </c>
      <c r="Q13" s="23">
        <v>231433</v>
      </c>
      <c r="R13" s="23">
        <v>233086</v>
      </c>
      <c r="S13" s="23">
        <v>235148</v>
      </c>
      <c r="T13" s="23">
        <v>247458</v>
      </c>
      <c r="U13" s="23">
        <v>267513</v>
      </c>
      <c r="W13" s="23">
        <v>271451</v>
      </c>
      <c r="X13" s="23">
        <v>293251</v>
      </c>
      <c r="Y13" s="23">
        <v>307355</v>
      </c>
      <c r="Z13" s="23">
        <f>[12]recto!$F$60</f>
        <v>324707</v>
      </c>
      <c r="AA13" s="23">
        <v>343220</v>
      </c>
      <c r="AB13" s="23">
        <f>[5]recto!$F$62</f>
        <v>360208</v>
      </c>
      <c r="AC13" s="23">
        <f>[18]recto!$F$62</f>
        <v>378082</v>
      </c>
      <c r="AE13" s="154">
        <f t="shared" si="0"/>
        <v>8.0309153401534772E-2</v>
      </c>
      <c r="AF13" s="154">
        <f t="shared" si="1"/>
        <v>4.8095317663025883E-2</v>
      </c>
      <c r="AG13" s="154">
        <f t="shared" si="1"/>
        <v>5.6455889769159384E-2</v>
      </c>
      <c r="AH13" s="154">
        <f t="shared" si="1"/>
        <v>5.7014477667558738E-2</v>
      </c>
      <c r="AI13" s="154">
        <f t="shared" si="1"/>
        <v>4.9495950119456955E-2</v>
      </c>
      <c r="AJ13" s="154">
        <f t="shared" si="1"/>
        <v>4.9621329898281052E-2</v>
      </c>
    </row>
    <row r="14" spans="2:36" s="12" customFormat="1" ht="12.75" customHeight="1" thickBot="1" x14ac:dyDescent="0.3">
      <c r="B14" s="305"/>
      <c r="C14" s="115"/>
      <c r="D14" s="22" t="s">
        <v>75</v>
      </c>
      <c r="E14" s="23">
        <v>84</v>
      </c>
      <c r="F14" s="23">
        <v>81</v>
      </c>
      <c r="G14" s="23">
        <v>82</v>
      </c>
      <c r="H14" s="23">
        <v>72</v>
      </c>
      <c r="I14" s="23">
        <v>102</v>
      </c>
      <c r="J14" s="23">
        <v>84</v>
      </c>
      <c r="K14" s="23">
        <v>96</v>
      </c>
      <c r="L14" s="23">
        <v>101</v>
      </c>
      <c r="M14" s="23">
        <v>98</v>
      </c>
      <c r="N14" s="23">
        <v>68</v>
      </c>
      <c r="O14" s="23">
        <v>67</v>
      </c>
      <c r="P14" s="23">
        <v>62</v>
      </c>
      <c r="Q14" s="23">
        <v>55</v>
      </c>
      <c r="R14" s="23">
        <v>51</v>
      </c>
      <c r="S14" s="23">
        <v>43</v>
      </c>
      <c r="T14" s="23">
        <v>40</v>
      </c>
      <c r="U14" s="23">
        <v>33</v>
      </c>
      <c r="W14" s="23">
        <v>34</v>
      </c>
      <c r="X14" s="23">
        <v>28</v>
      </c>
      <c r="Y14" s="23">
        <v>23</v>
      </c>
      <c r="Z14" s="23">
        <f>[12]recto!$F$61</f>
        <v>21</v>
      </c>
      <c r="AA14" s="23">
        <v>20</v>
      </c>
      <c r="AB14" s="23">
        <f>[5]recto!$F$63</f>
        <v>19</v>
      </c>
      <c r="AC14" s="23">
        <f>[18]recto!$F$63</f>
        <v>19</v>
      </c>
      <c r="AE14" s="154">
        <f t="shared" si="0"/>
        <v>-0.17647058823529416</v>
      </c>
      <c r="AF14" s="154">
        <f t="shared" si="1"/>
        <v>-0.1785714285714286</v>
      </c>
      <c r="AG14" s="154">
        <f t="shared" si="1"/>
        <v>-8.6956521739130488E-2</v>
      </c>
      <c r="AH14" s="154">
        <f t="shared" si="1"/>
        <v>-4.7619047619047672E-2</v>
      </c>
      <c r="AI14" s="154">
        <f t="shared" si="1"/>
        <v>-5.0000000000000044E-2</v>
      </c>
      <c r="AJ14" s="154">
        <f t="shared" si="1"/>
        <v>0</v>
      </c>
    </row>
    <row r="15" spans="2:36" s="12" customFormat="1" ht="12.75" customHeight="1" thickBot="1" x14ac:dyDescent="0.3">
      <c r="B15" s="305"/>
      <c r="C15" s="20"/>
      <c r="D15" s="22" t="s">
        <v>76</v>
      </c>
      <c r="E15" s="23">
        <v>640</v>
      </c>
      <c r="F15" s="23">
        <v>621</v>
      </c>
      <c r="G15" s="23">
        <v>613</v>
      </c>
      <c r="H15" s="23">
        <v>605</v>
      </c>
      <c r="I15" s="23">
        <v>577</v>
      </c>
      <c r="J15" s="23">
        <v>544</v>
      </c>
      <c r="K15" s="23">
        <v>566</v>
      </c>
      <c r="L15" s="23">
        <v>550</v>
      </c>
      <c r="M15" s="23">
        <v>529</v>
      </c>
      <c r="N15" s="23">
        <v>525</v>
      </c>
      <c r="O15" s="23">
        <v>476</v>
      </c>
      <c r="P15" s="23">
        <v>429</v>
      </c>
      <c r="Q15" s="23">
        <v>411</v>
      </c>
      <c r="R15" s="23">
        <v>369</v>
      </c>
      <c r="S15" s="23">
        <v>329</v>
      </c>
      <c r="T15" s="23">
        <v>296</v>
      </c>
      <c r="U15" s="23">
        <v>261</v>
      </c>
      <c r="W15" s="23">
        <v>270</v>
      </c>
      <c r="X15" s="23">
        <v>238</v>
      </c>
      <c r="Y15" s="23">
        <v>199</v>
      </c>
      <c r="Z15" s="23">
        <f>[12]recto!$F$62</f>
        <v>162</v>
      </c>
      <c r="AA15" s="23">
        <v>140</v>
      </c>
      <c r="AB15" s="23">
        <f>[5]recto!$F$64</f>
        <v>114</v>
      </c>
      <c r="AC15" s="23">
        <f>[18]recto!$F$64</f>
        <v>106</v>
      </c>
      <c r="AE15" s="154">
        <f t="shared" si="0"/>
        <v>-0.11851851851851847</v>
      </c>
      <c r="AF15" s="154">
        <f t="shared" si="1"/>
        <v>-0.16386554621848737</v>
      </c>
      <c r="AG15" s="154">
        <f t="shared" si="1"/>
        <v>-0.18592964824120606</v>
      </c>
      <c r="AH15" s="154">
        <f t="shared" si="1"/>
        <v>-0.13580246913580252</v>
      </c>
      <c r="AI15" s="154">
        <f t="shared" si="1"/>
        <v>-0.18571428571428572</v>
      </c>
      <c r="AJ15" s="154">
        <f t="shared" si="1"/>
        <v>-7.0175438596491224E-2</v>
      </c>
    </row>
    <row r="16" spans="2:36" s="12" customFormat="1" ht="20.25" customHeight="1" thickBot="1" x14ac:dyDescent="0.3">
      <c r="B16" s="306"/>
      <c r="C16" s="118" t="s">
        <v>113</v>
      </c>
      <c r="D16" s="119"/>
      <c r="E16" s="120">
        <f t="shared" ref="E16:R16" si="3">E13+E14+2*E15</f>
        <v>243775</v>
      </c>
      <c r="F16" s="120">
        <f t="shared" si="3"/>
        <v>237739</v>
      </c>
      <c r="G16" s="120">
        <f t="shared" si="3"/>
        <v>233330</v>
      </c>
      <c r="H16" s="120">
        <f t="shared" si="3"/>
        <v>230053</v>
      </c>
      <c r="I16" s="120">
        <f t="shared" si="3"/>
        <v>226442</v>
      </c>
      <c r="J16" s="120">
        <f t="shared" si="3"/>
        <v>223152</v>
      </c>
      <c r="K16" s="120">
        <f t="shared" si="3"/>
        <v>228577</v>
      </c>
      <c r="L16" s="120">
        <f t="shared" si="3"/>
        <v>228796</v>
      </c>
      <c r="M16" s="120">
        <f t="shared" si="3"/>
        <v>228740</v>
      </c>
      <c r="N16" s="120">
        <f t="shared" si="3"/>
        <v>227662</v>
      </c>
      <c r="O16" s="120">
        <f t="shared" si="3"/>
        <v>227861</v>
      </c>
      <c r="P16" s="120">
        <f t="shared" si="3"/>
        <v>229801</v>
      </c>
      <c r="Q16" s="120">
        <f t="shared" si="3"/>
        <v>232310</v>
      </c>
      <c r="R16" s="120">
        <f t="shared" si="3"/>
        <v>233875</v>
      </c>
      <c r="S16" s="120">
        <v>235849</v>
      </c>
      <c r="T16" s="120">
        <v>248090</v>
      </c>
      <c r="U16" s="120">
        <f>U13+U14+2*U15</f>
        <v>268068</v>
      </c>
      <c r="W16" s="120">
        <v>272025</v>
      </c>
      <c r="X16" s="120">
        <v>293755</v>
      </c>
      <c r="Y16" s="120">
        <v>307776</v>
      </c>
      <c r="Z16" s="120">
        <f>[12]recto!$F$63</f>
        <v>325052</v>
      </c>
      <c r="AA16" s="120">
        <v>343520</v>
      </c>
      <c r="AB16" s="120">
        <f>[5]recto!$F$65</f>
        <v>360455</v>
      </c>
      <c r="AC16" s="120">
        <f>[18]recto!$F$65</f>
        <v>378313</v>
      </c>
      <c r="AE16" s="205">
        <f t="shared" si="0"/>
        <v>7.9882363753331465E-2</v>
      </c>
      <c r="AF16" s="205">
        <f t="shared" si="1"/>
        <v>4.773025139997622E-2</v>
      </c>
      <c r="AG16" s="205">
        <f t="shared" si="1"/>
        <v>5.6131732168850146E-2</v>
      </c>
      <c r="AH16" s="205">
        <f t="shared" si="1"/>
        <v>5.6815524900631242E-2</v>
      </c>
      <c r="AI16" s="205">
        <f t="shared" si="1"/>
        <v>4.9298439683278961E-2</v>
      </c>
      <c r="AJ16" s="205">
        <f t="shared" si="1"/>
        <v>4.9542938785701374E-2</v>
      </c>
    </row>
    <row r="17" spans="2:36" s="12" customFormat="1" ht="12.75" customHeight="1" thickTop="1" thickBot="1" x14ac:dyDescent="0.3">
      <c r="B17" s="307" t="s">
        <v>14</v>
      </c>
      <c r="C17" s="126" t="s">
        <v>112</v>
      </c>
      <c r="D17" s="20" t="s">
        <v>74</v>
      </c>
      <c r="E17" s="23">
        <v>407220</v>
      </c>
      <c r="F17" s="23">
        <v>403413</v>
      </c>
      <c r="G17" s="23">
        <v>404317</v>
      </c>
      <c r="H17" s="23">
        <v>403367</v>
      </c>
      <c r="I17" s="23">
        <v>401890</v>
      </c>
      <c r="J17" s="23">
        <v>402085</v>
      </c>
      <c r="K17" s="23">
        <v>413832</v>
      </c>
      <c r="L17" s="23">
        <v>417555</v>
      </c>
      <c r="M17" s="23">
        <v>418076</v>
      </c>
      <c r="N17" s="23">
        <v>415116</v>
      </c>
      <c r="O17" s="23">
        <v>415519</v>
      </c>
      <c r="P17" s="23">
        <v>419905</v>
      </c>
      <c r="Q17" s="23">
        <f t="shared" ref="Q17:R19" si="4">Q9+Q13</f>
        <v>425886</v>
      </c>
      <c r="R17" s="23">
        <f t="shared" si="4"/>
        <v>428595</v>
      </c>
      <c r="S17" s="23">
        <v>432185</v>
      </c>
      <c r="T17" s="23">
        <v>452240</v>
      </c>
      <c r="U17" s="23">
        <f>U9+U13</f>
        <v>485225</v>
      </c>
      <c r="W17" s="23">
        <v>494773</v>
      </c>
      <c r="X17" s="23">
        <v>530768</v>
      </c>
      <c r="Y17" s="23">
        <v>552247</v>
      </c>
      <c r="Z17" s="23">
        <f t="shared" ref="Z17:Z20" si="5">Z9+Z13</f>
        <v>580012</v>
      </c>
      <c r="AA17" s="23">
        <v>611190</v>
      </c>
      <c r="AB17" s="23">
        <f t="shared" ref="AB17:AC17" si="6">AB9+AB13</f>
        <v>639689</v>
      </c>
      <c r="AC17" s="23">
        <f t="shared" si="6"/>
        <v>670328</v>
      </c>
      <c r="AE17" s="154">
        <f t="shared" si="0"/>
        <v>7.2750534083306784E-2</v>
      </c>
      <c r="AF17" s="154">
        <f t="shared" si="1"/>
        <v>4.0467774997739125E-2</v>
      </c>
      <c r="AG17" s="154">
        <f t="shared" si="1"/>
        <v>5.0276416168852034E-2</v>
      </c>
      <c r="AH17" s="154">
        <f t="shared" si="1"/>
        <v>5.375406026082219E-2</v>
      </c>
      <c r="AI17" s="154">
        <f t="shared" si="1"/>
        <v>4.6628707930430835E-2</v>
      </c>
      <c r="AJ17" s="154">
        <f t="shared" si="1"/>
        <v>4.7896712308637568E-2</v>
      </c>
    </row>
    <row r="18" spans="2:36" s="12" customFormat="1" ht="12.75" customHeight="1" thickBot="1" x14ac:dyDescent="0.3">
      <c r="B18" s="308"/>
      <c r="C18" s="115"/>
      <c r="D18" s="22" t="s">
        <v>75</v>
      </c>
      <c r="E18" s="23">
        <v>665</v>
      </c>
      <c r="F18" s="23">
        <v>643</v>
      </c>
      <c r="G18" s="23">
        <v>627</v>
      </c>
      <c r="H18" s="23">
        <v>590</v>
      </c>
      <c r="I18" s="23">
        <v>685</v>
      </c>
      <c r="J18" s="23">
        <v>668</v>
      </c>
      <c r="K18" s="23">
        <v>779</v>
      </c>
      <c r="L18" s="23">
        <v>784</v>
      </c>
      <c r="M18" s="23">
        <v>752</v>
      </c>
      <c r="N18" s="23">
        <v>515</v>
      </c>
      <c r="O18" s="23">
        <v>477</v>
      </c>
      <c r="P18" s="23">
        <v>433</v>
      </c>
      <c r="Q18" s="23">
        <f t="shared" si="4"/>
        <v>391</v>
      </c>
      <c r="R18" s="23">
        <f t="shared" si="4"/>
        <v>355</v>
      </c>
      <c r="S18" s="23">
        <v>306</v>
      </c>
      <c r="T18" s="23">
        <v>279</v>
      </c>
      <c r="U18" s="23">
        <f>U10+U14</f>
        <v>245</v>
      </c>
      <c r="W18" s="23">
        <v>263</v>
      </c>
      <c r="X18" s="23">
        <v>233</v>
      </c>
      <c r="Y18" s="23">
        <v>191</v>
      </c>
      <c r="Z18" s="23">
        <f t="shared" si="5"/>
        <v>164</v>
      </c>
      <c r="AA18" s="23">
        <v>149</v>
      </c>
      <c r="AB18" s="23">
        <f t="shared" ref="AB18:AC18" si="7">AB10+AB14</f>
        <v>127</v>
      </c>
      <c r="AC18" s="23">
        <f t="shared" si="7"/>
        <v>108</v>
      </c>
      <c r="AE18" s="154">
        <f t="shared" si="0"/>
        <v>-0.11406844106463876</v>
      </c>
      <c r="AF18" s="154">
        <f t="shared" si="1"/>
        <v>-0.18025751072961371</v>
      </c>
      <c r="AG18" s="154">
        <f t="shared" si="1"/>
        <v>-0.1413612565445026</v>
      </c>
      <c r="AH18" s="154">
        <f t="shared" si="1"/>
        <v>-9.1463414634146312E-2</v>
      </c>
      <c r="AI18" s="154">
        <f t="shared" si="1"/>
        <v>-0.1476510067114094</v>
      </c>
      <c r="AJ18" s="154">
        <f t="shared" si="1"/>
        <v>-0.14960629921259838</v>
      </c>
    </row>
    <row r="19" spans="2:36" s="12" customFormat="1" ht="12.75" customHeight="1" thickBot="1" x14ac:dyDescent="0.3">
      <c r="B19" s="308"/>
      <c r="C19" s="20"/>
      <c r="D19" s="22" t="s">
        <v>76</v>
      </c>
      <c r="E19" s="23">
        <v>6570</v>
      </c>
      <c r="F19" s="23">
        <v>6118</v>
      </c>
      <c r="G19" s="23">
        <v>5664</v>
      </c>
      <c r="H19" s="23">
        <v>5198</v>
      </c>
      <c r="I19" s="23">
        <v>4723</v>
      </c>
      <c r="J19" s="23">
        <v>4017</v>
      </c>
      <c r="K19" s="23">
        <v>4003</v>
      </c>
      <c r="L19" s="23">
        <v>3659</v>
      </c>
      <c r="M19" s="23">
        <v>3339</v>
      </c>
      <c r="N19" s="23">
        <v>3151</v>
      </c>
      <c r="O19" s="23">
        <v>2809</v>
      </c>
      <c r="P19" s="23">
        <v>2485</v>
      </c>
      <c r="Q19" s="23">
        <f t="shared" si="4"/>
        <v>2294</v>
      </c>
      <c r="R19" s="23">
        <f t="shared" si="4"/>
        <v>2059</v>
      </c>
      <c r="S19" s="23">
        <v>1804</v>
      </c>
      <c r="T19" s="23">
        <v>1566</v>
      </c>
      <c r="U19" s="23">
        <f>U11+U15</f>
        <v>1378</v>
      </c>
      <c r="W19" s="23">
        <v>1525</v>
      </c>
      <c r="X19" s="23">
        <v>1349</v>
      </c>
      <c r="Y19" s="23">
        <v>1124</v>
      </c>
      <c r="Z19" s="23">
        <f t="shared" si="5"/>
        <v>926</v>
      </c>
      <c r="AA19" s="23">
        <v>807</v>
      </c>
      <c r="AB19" s="23">
        <f t="shared" ref="AB19:AC19" si="8">AB11+AB15</f>
        <v>672</v>
      </c>
      <c r="AC19" s="23">
        <f t="shared" si="8"/>
        <v>570</v>
      </c>
      <c r="AE19" s="154">
        <f t="shared" si="0"/>
        <v>-0.11540983606557376</v>
      </c>
      <c r="AF19" s="154">
        <f t="shared" si="1"/>
        <v>-0.16679021497405488</v>
      </c>
      <c r="AG19" s="154">
        <f t="shared" si="1"/>
        <v>-0.17615658362989328</v>
      </c>
      <c r="AH19" s="154">
        <f t="shared" si="1"/>
        <v>-0.12850971922246224</v>
      </c>
      <c r="AI19" s="154">
        <f t="shared" si="1"/>
        <v>-0.16728624535315983</v>
      </c>
      <c r="AJ19" s="154">
        <f t="shared" si="1"/>
        <v>-0.1517857142857143</v>
      </c>
    </row>
    <row r="20" spans="2:36" s="12" customFormat="1" ht="24" customHeight="1" thickBot="1" x14ac:dyDescent="0.3">
      <c r="B20" s="309"/>
      <c r="C20" s="28" t="s">
        <v>113</v>
      </c>
      <c r="D20" s="44"/>
      <c r="E20" s="30">
        <f>E17+E18+2*E19</f>
        <v>421025</v>
      </c>
      <c r="F20" s="30">
        <f t="shared" ref="F20:O20" si="9">F17+F18+2*F19</f>
        <v>416292</v>
      </c>
      <c r="G20" s="30">
        <f t="shared" si="9"/>
        <v>416272</v>
      </c>
      <c r="H20" s="30">
        <f t="shared" si="9"/>
        <v>414353</v>
      </c>
      <c r="I20" s="30">
        <f t="shared" si="9"/>
        <v>412021</v>
      </c>
      <c r="J20" s="30">
        <f t="shared" si="9"/>
        <v>410787</v>
      </c>
      <c r="K20" s="30">
        <f t="shared" si="9"/>
        <v>422617</v>
      </c>
      <c r="L20" s="30">
        <f t="shared" si="9"/>
        <v>425657</v>
      </c>
      <c r="M20" s="30">
        <f t="shared" si="9"/>
        <v>425506</v>
      </c>
      <c r="N20" s="30">
        <f t="shared" si="9"/>
        <v>421933</v>
      </c>
      <c r="O20" s="30">
        <f t="shared" si="9"/>
        <v>421614</v>
      </c>
      <c r="P20" s="30">
        <f>P17+P18+2*P19</f>
        <v>425308</v>
      </c>
      <c r="Q20" s="30">
        <f>Q17+Q18+2*Q19</f>
        <v>430865</v>
      </c>
      <c r="R20" s="30">
        <f>R17+R18+2*R19</f>
        <v>433068</v>
      </c>
      <c r="S20" s="30">
        <v>436099</v>
      </c>
      <c r="T20" s="30">
        <v>455651</v>
      </c>
      <c r="U20" s="30">
        <f>U17+U18+2*U19</f>
        <v>488226</v>
      </c>
      <c r="W20" s="30">
        <v>498086</v>
      </c>
      <c r="X20" s="30">
        <v>533699</v>
      </c>
      <c r="Y20" s="30">
        <v>554686</v>
      </c>
      <c r="Z20" s="30">
        <f t="shared" si="5"/>
        <v>582028</v>
      </c>
      <c r="AA20" s="30">
        <v>612953</v>
      </c>
      <c r="AB20" s="30">
        <f>AB12+AB16</f>
        <v>641160</v>
      </c>
      <c r="AC20" s="30">
        <f>AC12+AC16</f>
        <v>671576</v>
      </c>
      <c r="AE20" s="150">
        <f t="shared" si="0"/>
        <v>7.1499700854872561E-2</v>
      </c>
      <c r="AF20" s="150">
        <f t="shared" si="1"/>
        <v>3.9323663713066725E-2</v>
      </c>
      <c r="AG20" s="150">
        <f t="shared" si="1"/>
        <v>4.9292753017022184E-2</v>
      </c>
      <c r="AH20" s="150">
        <f t="shared" si="1"/>
        <v>5.3133182596026396E-2</v>
      </c>
      <c r="AI20" s="150">
        <f t="shared" si="1"/>
        <v>4.601821020535013E-2</v>
      </c>
      <c r="AJ20" s="150">
        <f t="shared" si="1"/>
        <v>4.7439016782082399E-2</v>
      </c>
    </row>
    <row r="21" spans="2:36" s="156" customFormat="1" ht="12.75" thickTop="1" x14ac:dyDescent="0.2">
      <c r="B21" s="155" t="s">
        <v>85</v>
      </c>
    </row>
    <row r="22" spans="2:36" s="156" customFormat="1" ht="12" x14ac:dyDescent="0.2">
      <c r="B22" s="155" t="s">
        <v>117</v>
      </c>
    </row>
    <row r="23" spans="2:36" s="156" customFormat="1" ht="12" x14ac:dyDescent="0.2">
      <c r="B23" s="155" t="s">
        <v>107</v>
      </c>
    </row>
    <row r="24" spans="2:36" s="156" customFormat="1" ht="12" x14ac:dyDescent="0.2">
      <c r="B24" s="155" t="s">
        <v>108</v>
      </c>
    </row>
    <row r="25" spans="2:36" s="156" customFormat="1" ht="12" x14ac:dyDescent="0.2">
      <c r="B25" s="158"/>
    </row>
    <row r="26" spans="2:36" ht="15" thickBot="1" x14ac:dyDescent="0.25">
      <c r="C26" s="49" t="s">
        <v>34</v>
      </c>
      <c r="D26" s="54"/>
      <c r="E26" s="54"/>
      <c r="F26" s="54"/>
      <c r="G26" s="54"/>
      <c r="H26" s="54"/>
      <c r="I26" s="54"/>
      <c r="J26" s="54"/>
      <c r="K26" s="54"/>
      <c r="L26" s="54"/>
      <c r="M26" s="54"/>
    </row>
    <row r="27" spans="2:36" ht="21.95" customHeight="1" x14ac:dyDescent="0.2">
      <c r="C27" s="318" t="s">
        <v>90</v>
      </c>
      <c r="D27" s="319"/>
      <c r="E27" s="292" t="s">
        <v>96</v>
      </c>
      <c r="F27" s="344"/>
      <c r="G27" s="344"/>
      <c r="H27" s="344"/>
      <c r="I27" s="344"/>
      <c r="J27" s="344"/>
      <c r="K27" s="344"/>
      <c r="L27" s="344"/>
      <c r="M27" s="345"/>
    </row>
    <row r="28" spans="2:36" ht="21.95" customHeight="1" x14ac:dyDescent="0.2">
      <c r="C28" s="348" t="s">
        <v>36</v>
      </c>
      <c r="D28" s="358"/>
      <c r="E28" s="355" t="s">
        <v>139</v>
      </c>
      <c r="F28" s="356"/>
      <c r="G28" s="356"/>
      <c r="H28" s="356"/>
      <c r="I28" s="356"/>
      <c r="J28" s="356"/>
      <c r="K28" s="356"/>
      <c r="L28" s="356"/>
      <c r="M28" s="357"/>
    </row>
    <row r="29" spans="2:36" ht="21.95" customHeight="1" x14ac:dyDescent="0.2">
      <c r="C29" s="348"/>
      <c r="D29" s="358"/>
      <c r="E29" s="355" t="s">
        <v>140</v>
      </c>
      <c r="F29" s="356"/>
      <c r="G29" s="356"/>
      <c r="H29" s="356"/>
      <c r="I29" s="356"/>
      <c r="J29" s="356"/>
      <c r="K29" s="356"/>
      <c r="L29" s="356"/>
      <c r="M29" s="357"/>
    </row>
    <row r="30" spans="2:36" ht="15.75" thickBot="1" x14ac:dyDescent="0.3">
      <c r="C30" s="346"/>
      <c r="D30" s="347"/>
      <c r="E30" s="215" t="s">
        <v>141</v>
      </c>
      <c r="F30" s="159"/>
      <c r="G30" s="159"/>
      <c r="H30" s="159"/>
      <c r="I30" s="159"/>
      <c r="J30" s="159"/>
      <c r="K30" s="159"/>
      <c r="L30" s="159"/>
      <c r="M30" s="160"/>
    </row>
    <row r="31" spans="2:36" x14ac:dyDescent="0.2">
      <c r="E31" s="156"/>
      <c r="F31" s="156"/>
      <c r="G31" s="156"/>
      <c r="H31" s="156"/>
      <c r="I31" s="156"/>
      <c r="J31" s="156"/>
      <c r="K31" s="156"/>
      <c r="L31" s="156"/>
      <c r="M31" s="156"/>
    </row>
    <row r="32" spans="2:36" x14ac:dyDescent="0.2">
      <c r="E32" s="156"/>
      <c r="F32" s="156"/>
      <c r="G32" s="156"/>
      <c r="H32" s="156"/>
      <c r="I32" s="156"/>
      <c r="J32" s="156"/>
      <c r="K32" s="156"/>
      <c r="L32" s="156"/>
      <c r="M32" s="156"/>
    </row>
    <row r="33" spans="5:13" x14ac:dyDescent="0.2">
      <c r="E33" s="156"/>
      <c r="F33" s="156"/>
      <c r="G33" s="156"/>
      <c r="H33" s="156"/>
      <c r="I33" s="156"/>
      <c r="J33" s="156"/>
      <c r="K33" s="156"/>
      <c r="L33" s="156"/>
      <c r="M33" s="156"/>
    </row>
    <row r="34" spans="5:13" x14ac:dyDescent="0.2">
      <c r="E34" s="156"/>
      <c r="F34" s="156"/>
      <c r="G34" s="156"/>
      <c r="H34" s="156"/>
      <c r="I34" s="156"/>
      <c r="J34" s="156"/>
      <c r="K34" s="156"/>
      <c r="L34" s="156"/>
      <c r="M34" s="156"/>
    </row>
    <row r="35" spans="5:13" x14ac:dyDescent="0.2">
      <c r="E35" s="156"/>
      <c r="F35" s="156"/>
      <c r="G35" s="156"/>
      <c r="H35" s="156"/>
      <c r="I35" s="156"/>
      <c r="J35" s="156"/>
      <c r="K35" s="156"/>
      <c r="L35" s="156"/>
      <c r="M35" s="156"/>
    </row>
    <row r="36" spans="5:13" x14ac:dyDescent="0.2">
      <c r="E36" s="156"/>
      <c r="F36" s="156"/>
      <c r="G36" s="156"/>
      <c r="H36" s="156"/>
      <c r="I36" s="156"/>
      <c r="J36" s="156"/>
      <c r="K36" s="156"/>
      <c r="L36" s="156"/>
      <c r="M36" s="156"/>
    </row>
    <row r="37" spans="5:13" x14ac:dyDescent="0.2">
      <c r="E37" s="156"/>
      <c r="F37" s="156"/>
      <c r="G37" s="156"/>
      <c r="H37" s="156"/>
      <c r="I37" s="156"/>
      <c r="J37" s="156"/>
      <c r="K37" s="156"/>
      <c r="L37" s="156"/>
      <c r="M37" s="156"/>
    </row>
    <row r="38" spans="5:13" x14ac:dyDescent="0.2">
      <c r="E38" s="156"/>
      <c r="F38" s="156"/>
      <c r="G38" s="156"/>
      <c r="H38" s="156"/>
      <c r="I38" s="156"/>
      <c r="J38" s="156"/>
      <c r="K38" s="156"/>
      <c r="L38" s="156"/>
      <c r="M38" s="156"/>
    </row>
    <row r="39" spans="5:13" x14ac:dyDescent="0.2">
      <c r="E39" s="156"/>
      <c r="F39" s="156"/>
      <c r="G39" s="156"/>
      <c r="H39" s="156"/>
      <c r="I39" s="156"/>
      <c r="J39" s="156"/>
      <c r="K39" s="156"/>
      <c r="L39" s="156"/>
      <c r="M39" s="156"/>
    </row>
    <row r="40" spans="5:13" x14ac:dyDescent="0.2">
      <c r="E40" s="156"/>
      <c r="F40" s="156"/>
      <c r="G40" s="156"/>
      <c r="H40" s="156"/>
      <c r="I40" s="156"/>
      <c r="J40" s="156"/>
      <c r="K40" s="156"/>
      <c r="L40" s="156"/>
      <c r="M40" s="156"/>
    </row>
    <row r="41" spans="5:13" x14ac:dyDescent="0.2">
      <c r="E41" s="156"/>
      <c r="F41" s="156"/>
      <c r="G41" s="156"/>
      <c r="H41" s="156"/>
      <c r="I41" s="156"/>
      <c r="J41" s="156"/>
      <c r="K41" s="156"/>
      <c r="L41" s="156"/>
      <c r="M41" s="156"/>
    </row>
    <row r="42" spans="5:13" x14ac:dyDescent="0.2">
      <c r="E42" s="156"/>
      <c r="F42" s="156"/>
      <c r="G42" s="156"/>
      <c r="H42" s="156"/>
      <c r="I42" s="156"/>
      <c r="J42" s="156"/>
      <c r="K42" s="156"/>
      <c r="L42" s="156"/>
      <c r="M42" s="156"/>
    </row>
    <row r="43" spans="5:13" x14ac:dyDescent="0.2">
      <c r="E43" s="156"/>
      <c r="F43" s="156"/>
      <c r="G43" s="156"/>
      <c r="H43" s="156"/>
      <c r="I43" s="156"/>
      <c r="J43" s="156"/>
      <c r="K43" s="156"/>
      <c r="L43" s="156"/>
      <c r="M43" s="156"/>
    </row>
    <row r="44" spans="5:13" x14ac:dyDescent="0.2">
      <c r="E44" s="156"/>
      <c r="F44" s="156"/>
      <c r="G44" s="156"/>
      <c r="H44" s="156"/>
      <c r="I44" s="156"/>
      <c r="J44" s="156"/>
      <c r="K44" s="156"/>
      <c r="L44" s="156"/>
      <c r="M44" s="156"/>
    </row>
    <row r="45" spans="5:13" x14ac:dyDescent="0.2">
      <c r="E45" s="156"/>
      <c r="F45" s="156"/>
      <c r="G45" s="156"/>
      <c r="H45" s="156"/>
      <c r="I45" s="156"/>
      <c r="J45" s="156"/>
      <c r="K45" s="156"/>
      <c r="L45" s="156"/>
      <c r="M45" s="156"/>
    </row>
    <row r="46" spans="5:13" x14ac:dyDescent="0.2">
      <c r="E46" s="156"/>
      <c r="F46" s="156"/>
      <c r="G46" s="156"/>
      <c r="H46" s="156"/>
      <c r="I46" s="156"/>
      <c r="J46" s="156"/>
      <c r="K46" s="156"/>
      <c r="L46" s="156"/>
      <c r="M46" s="156"/>
    </row>
    <row r="47" spans="5:13" x14ac:dyDescent="0.2">
      <c r="E47" s="156"/>
      <c r="F47" s="156"/>
      <c r="G47" s="156"/>
      <c r="H47" s="156"/>
      <c r="I47" s="156"/>
      <c r="J47" s="156"/>
      <c r="K47" s="156"/>
      <c r="L47" s="156"/>
      <c r="M47" s="156"/>
    </row>
    <row r="48" spans="5:13" x14ac:dyDescent="0.2">
      <c r="E48" s="156"/>
      <c r="F48" s="156"/>
      <c r="G48" s="156"/>
      <c r="H48" s="156"/>
      <c r="I48" s="156"/>
      <c r="J48" s="156"/>
      <c r="K48" s="156"/>
      <c r="L48" s="156"/>
      <c r="M48" s="156"/>
    </row>
    <row r="49" spans="5:13" x14ac:dyDescent="0.2">
      <c r="E49" s="156"/>
      <c r="F49" s="156"/>
      <c r="G49" s="156"/>
      <c r="H49" s="156"/>
      <c r="I49" s="156"/>
      <c r="J49" s="156"/>
      <c r="K49" s="156"/>
      <c r="L49" s="156"/>
      <c r="M49" s="156"/>
    </row>
    <row r="50" spans="5:13" x14ac:dyDescent="0.2">
      <c r="E50" s="156"/>
      <c r="F50" s="156"/>
      <c r="G50" s="156"/>
      <c r="H50" s="156"/>
      <c r="I50" s="156"/>
      <c r="J50" s="156"/>
      <c r="K50" s="156"/>
      <c r="L50" s="156"/>
      <c r="M50" s="156"/>
    </row>
    <row r="51" spans="5:13" x14ac:dyDescent="0.2">
      <c r="E51" s="156"/>
      <c r="F51" s="156"/>
      <c r="G51" s="156"/>
      <c r="H51" s="156"/>
      <c r="I51" s="156"/>
      <c r="J51" s="156"/>
      <c r="K51" s="156"/>
      <c r="L51" s="156"/>
      <c r="M51" s="156"/>
    </row>
    <row r="52" spans="5:13" x14ac:dyDescent="0.2">
      <c r="E52" s="156"/>
      <c r="F52" s="156"/>
      <c r="G52" s="156"/>
      <c r="H52" s="156"/>
      <c r="I52" s="156"/>
      <c r="J52" s="156"/>
      <c r="K52" s="156"/>
      <c r="L52" s="156"/>
      <c r="M52" s="156"/>
    </row>
    <row r="53" spans="5:13" x14ac:dyDescent="0.2">
      <c r="E53" s="156"/>
      <c r="F53" s="156"/>
      <c r="G53" s="156"/>
      <c r="H53" s="156"/>
      <c r="I53" s="156"/>
      <c r="J53" s="156"/>
      <c r="K53" s="156"/>
      <c r="L53" s="156"/>
      <c r="M53" s="156"/>
    </row>
    <row r="54" spans="5:13" x14ac:dyDescent="0.2">
      <c r="E54" s="156"/>
      <c r="F54" s="156"/>
      <c r="G54" s="156"/>
      <c r="H54" s="156"/>
      <c r="I54" s="156"/>
      <c r="J54" s="156"/>
      <c r="K54" s="156"/>
      <c r="L54" s="156"/>
      <c r="M54" s="156"/>
    </row>
    <row r="55" spans="5:13" x14ac:dyDescent="0.2">
      <c r="E55" s="156"/>
      <c r="F55" s="156"/>
      <c r="G55" s="156"/>
      <c r="H55" s="156"/>
      <c r="I55" s="156"/>
      <c r="J55" s="156"/>
      <c r="K55" s="156"/>
      <c r="L55" s="156"/>
      <c r="M55" s="156"/>
    </row>
    <row r="56" spans="5:13" x14ac:dyDescent="0.2">
      <c r="E56" s="156"/>
      <c r="F56" s="156"/>
      <c r="G56" s="156"/>
      <c r="H56" s="156"/>
      <c r="I56" s="156"/>
      <c r="J56" s="156"/>
      <c r="K56" s="156"/>
      <c r="L56" s="156"/>
      <c r="M56" s="156"/>
    </row>
  </sheetData>
  <mergeCells count="11">
    <mergeCell ref="B9:B12"/>
    <mergeCell ref="B13:B16"/>
    <mergeCell ref="B17:B20"/>
    <mergeCell ref="E6:U6"/>
    <mergeCell ref="W6:AC6"/>
    <mergeCell ref="E28:M28"/>
    <mergeCell ref="C27:D27"/>
    <mergeCell ref="E27:M27"/>
    <mergeCell ref="C28:D30"/>
    <mergeCell ref="E29:M29"/>
    <mergeCell ref="AE6:AJ6"/>
  </mergeCells>
  <phoneticPr fontId="30" type="noConversion"/>
  <hyperlinks>
    <hyperlink ref="E28" r:id="rId1" location="/portail?menuId=70f48c78-a34f-4ab6-a006-dd9c32ea89bf" xr:uid="{00000000-0004-0000-0900-000000000000}"/>
    <hyperlink ref="E29" r:id="rId2" location="/portail?menuId=2c8ebaa1-e74c-46a0-89ea-5ce903cdc546" xr:uid="{00000000-0004-0000-0900-000001000000}"/>
    <hyperlink ref="E30" r:id="rId3" location="/portail?menuId=a6714a10-fe66-4a6b-b85a-2257254c0d3f" xr:uid="{00000000-0004-0000-0900-000002000000}"/>
  </hyperlinks>
  <pageMargins left="0.7" right="0.7" top="0.75" bottom="0.75"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69"/>
  <sheetViews>
    <sheetView zoomScaleNormal="100" workbookViewId="0">
      <pane xSplit="4" topLeftCell="AC1" activePane="topRight" state="frozen"/>
      <selection pane="topRight" activeCell="AK16" sqref="AK16"/>
    </sheetView>
  </sheetViews>
  <sheetFormatPr baseColWidth="10" defaultColWidth="28.42578125" defaultRowHeight="14.25" x14ac:dyDescent="0.2"/>
  <cols>
    <col min="1" max="1" width="1" style="2" customWidth="1"/>
    <col min="2" max="2" width="4.28515625" style="1" customWidth="1"/>
    <col min="3" max="3" width="28.42578125" style="2" customWidth="1"/>
    <col min="4" max="4" width="32.28515625" style="2" customWidth="1"/>
    <col min="5" max="21" width="11.42578125" style="2" customWidth="1"/>
    <col min="22" max="22" width="5.42578125" style="2" customWidth="1"/>
    <col min="23" max="255" width="11.42578125" style="2" customWidth="1"/>
    <col min="256" max="256" width="1" style="2" customWidth="1"/>
    <col min="257" max="257" width="4.28515625" style="2" customWidth="1"/>
    <col min="258" max="16384" width="28.42578125" style="2"/>
  </cols>
  <sheetData>
    <row r="1" spans="2:36" ht="51" customHeight="1" x14ac:dyDescent="0.2"/>
    <row r="2" spans="2:36" ht="6.75" customHeight="1" x14ac:dyDescent="0.2"/>
    <row r="3" spans="2:36" ht="17.25" customHeight="1" x14ac:dyDescent="0.2">
      <c r="C3" s="3" t="s">
        <v>114</v>
      </c>
      <c r="D3" s="4"/>
      <c r="E3" s="5"/>
      <c r="F3" s="6"/>
    </row>
    <row r="4" spans="2:36" ht="7.9" customHeight="1" x14ac:dyDescent="0.2">
      <c r="C4" s="7"/>
      <c r="D4" s="8"/>
      <c r="E4" s="8"/>
      <c r="F4" s="8"/>
      <c r="G4" s="7"/>
      <c r="H4" s="7"/>
    </row>
    <row r="5" spans="2:36" ht="25.5" customHeight="1" thickBot="1" x14ac:dyDescent="0.25">
      <c r="C5" s="48" t="s">
        <v>103</v>
      </c>
      <c r="D5" s="8"/>
      <c r="E5" s="8"/>
      <c r="F5" s="8"/>
      <c r="G5" s="7"/>
      <c r="H5" s="7"/>
    </row>
    <row r="6" spans="2:36" ht="30" customHeight="1" thickBot="1" x14ac:dyDescent="0.25">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2:36" s="12" customFormat="1" ht="19.149999999999999" customHeight="1" thickBot="1" x14ac:dyDescent="0.3">
      <c r="B7" s="9"/>
      <c r="C7" s="10"/>
      <c r="D7" s="10"/>
      <c r="E7" s="11">
        <v>2003</v>
      </c>
      <c r="F7" s="11">
        <v>2004</v>
      </c>
      <c r="G7" s="11">
        <v>2005</v>
      </c>
      <c r="H7" s="11">
        <v>2006</v>
      </c>
      <c r="I7" s="11">
        <v>2007</v>
      </c>
      <c r="J7" s="11">
        <v>2008</v>
      </c>
      <c r="K7" s="11">
        <v>2009</v>
      </c>
      <c r="L7" s="11">
        <v>2010</v>
      </c>
      <c r="M7" s="11">
        <v>2011</v>
      </c>
      <c r="N7" s="11">
        <v>2012</v>
      </c>
      <c r="O7" s="11">
        <v>2013</v>
      </c>
      <c r="P7" s="11">
        <v>2014</v>
      </c>
      <c r="Q7" s="11">
        <v>2015</v>
      </c>
      <c r="R7" s="11">
        <v>2016</v>
      </c>
      <c r="S7" s="11">
        <v>2017</v>
      </c>
      <c r="T7" s="11">
        <v>2018</v>
      </c>
      <c r="U7" s="11" t="s">
        <v>1</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2:36" ht="12.75" customHeight="1" thickBot="1" x14ac:dyDescent="0.25">
      <c r="C8" s="14"/>
      <c r="D8" s="8"/>
      <c r="E8" s="15"/>
      <c r="F8" s="15"/>
      <c r="G8" s="15"/>
      <c r="H8" s="15"/>
      <c r="I8" s="15"/>
      <c r="J8" s="15"/>
      <c r="K8" s="15"/>
      <c r="L8" s="15"/>
      <c r="M8" s="15"/>
      <c r="N8" s="15"/>
      <c r="O8" s="15"/>
      <c r="P8" s="15"/>
      <c r="Q8" s="15"/>
      <c r="R8" s="15"/>
      <c r="S8" s="15"/>
      <c r="T8" s="15"/>
      <c r="U8" s="15"/>
      <c r="W8" s="15"/>
      <c r="X8" s="15"/>
      <c r="Y8" s="15"/>
      <c r="Z8" s="15"/>
      <c r="AA8" s="15"/>
      <c r="AB8" s="15"/>
      <c r="AC8" s="15"/>
      <c r="AE8" s="146"/>
      <c r="AF8" s="146"/>
      <c r="AG8" s="146"/>
      <c r="AH8" s="146"/>
      <c r="AI8" s="146"/>
      <c r="AJ8" s="146"/>
    </row>
    <row r="9" spans="2:36" s="12" customFormat="1" ht="17.25" customHeight="1" thickTop="1" thickBot="1" x14ac:dyDescent="0.3">
      <c r="B9" s="277" t="s">
        <v>2</v>
      </c>
      <c r="C9" s="16" t="s">
        <v>3</v>
      </c>
      <c r="D9" s="17"/>
      <c r="E9" s="18">
        <v>4621074</v>
      </c>
      <c r="F9" s="18">
        <v>4810734</v>
      </c>
      <c r="G9" s="18">
        <v>4966152</v>
      </c>
      <c r="H9" s="18">
        <v>5154677</v>
      </c>
      <c r="I9" s="18">
        <v>5346432</v>
      </c>
      <c r="J9" s="18">
        <v>5530956</v>
      </c>
      <c r="K9" s="18">
        <v>5649267</v>
      </c>
      <c r="L9" s="18">
        <v>5784298</v>
      </c>
      <c r="M9" s="18">
        <v>5857025</v>
      </c>
      <c r="N9" s="18">
        <v>5898094</v>
      </c>
      <c r="O9" s="18">
        <v>6008558</v>
      </c>
      <c r="P9" s="18">
        <f>6086422+90</f>
        <v>6086512</v>
      </c>
      <c r="Q9" s="18">
        <f>Q13+[1]Hommes!$T$19</f>
        <v>6231752</v>
      </c>
      <c r="R9" s="18">
        <f>R13+[2]Hommes!$T$19</f>
        <v>6223487</v>
      </c>
      <c r="S9" s="18">
        <f>[3]Hommes!$T$22</f>
        <v>6267116</v>
      </c>
      <c r="T9" s="18">
        <f>[4]Hommes!$T$22</f>
        <v>6339514</v>
      </c>
      <c r="U9" s="18">
        <v>6400099</v>
      </c>
      <c r="W9" s="18">
        <v>6502120</v>
      </c>
      <c r="X9" s="18">
        <v>6507903</v>
      </c>
      <c r="Y9" s="18">
        <v>6547534</v>
      </c>
      <c r="Z9" s="18">
        <v>6607802</v>
      </c>
      <c r="AA9" s="18">
        <v>6692761</v>
      </c>
      <c r="AB9" s="18">
        <f>[5]recto!$E$9</f>
        <v>6743842</v>
      </c>
      <c r="AC9" s="18">
        <f>[18]recto!$E$9</f>
        <v>6815624</v>
      </c>
      <c r="AE9" s="147">
        <f>X9/W9-1</f>
        <v>8.8940222573552496E-4</v>
      </c>
      <c r="AF9" s="147">
        <f>Y9/X9-1</f>
        <v>6.08967281780326E-3</v>
      </c>
      <c r="AG9" s="147">
        <f>Z9/Y9-1</f>
        <v>9.2046868332413823E-3</v>
      </c>
      <c r="AH9" s="147">
        <f>AA9/Z9-1</f>
        <v>1.2857376779752183E-2</v>
      </c>
      <c r="AI9" s="147">
        <f>AB9/AA9-1</f>
        <v>7.6322761263998284E-3</v>
      </c>
      <c r="AJ9" s="147">
        <f>AC9/AB9-1</f>
        <v>1.0644080925976684E-2</v>
      </c>
    </row>
    <row r="10" spans="2:36" s="12" customFormat="1" ht="12.75" customHeight="1" thickBot="1" x14ac:dyDescent="0.3">
      <c r="B10" s="278"/>
      <c r="C10" s="19" t="s">
        <v>4</v>
      </c>
      <c r="D10" s="20" t="s">
        <v>16</v>
      </c>
      <c r="E10" s="21">
        <v>3809205</v>
      </c>
      <c r="F10" s="21">
        <v>4001492</v>
      </c>
      <c r="G10" s="21">
        <v>4163942</v>
      </c>
      <c r="H10" s="21">
        <v>4349988</v>
      </c>
      <c r="I10" s="21">
        <v>4535773</v>
      </c>
      <c r="J10" s="21">
        <v>4714359</v>
      </c>
      <c r="K10" s="21">
        <v>4823455</v>
      </c>
      <c r="L10" s="21">
        <v>4948959</v>
      </c>
      <c r="M10" s="21">
        <v>5026910</v>
      </c>
      <c r="N10" s="21">
        <v>5085026</v>
      </c>
      <c r="O10" s="21">
        <v>5199711</v>
      </c>
      <c r="P10" s="21">
        <v>5287724</v>
      </c>
      <c r="Q10" s="21">
        <f>[1]Hommes!$T$10</f>
        <v>5445888</v>
      </c>
      <c r="R10" s="21">
        <f>[2]Hommes!$T$10</f>
        <v>5445888</v>
      </c>
      <c r="S10" s="21">
        <f>[6]Hommes!$T$10</f>
        <v>5495067</v>
      </c>
      <c r="T10" s="21">
        <f>[7]Hommes!$T$10</f>
        <v>5567420</v>
      </c>
      <c r="U10" s="21">
        <v>5625488</v>
      </c>
      <c r="W10" s="232" t="s">
        <v>89</v>
      </c>
      <c r="X10" s="232"/>
      <c r="Y10" s="35">
        <v>5754218</v>
      </c>
      <c r="Z10" s="35">
        <v>5813460</v>
      </c>
      <c r="AA10" s="35">
        <v>5889082</v>
      </c>
      <c r="AB10" s="35">
        <f>[5]recto!$E$10</f>
        <v>5931930</v>
      </c>
      <c r="AC10" s="35">
        <f>[18]recto!$E$10</f>
        <v>5991274</v>
      </c>
      <c r="AE10" s="148"/>
      <c r="AF10" s="148"/>
      <c r="AG10" s="148">
        <f t="shared" ref="AG10:AJ15" si="0">Z10/Y10-1</f>
        <v>1.0295404171340117E-2</v>
      </c>
      <c r="AH10" s="148">
        <f t="shared" si="0"/>
        <v>1.3008088126520212E-2</v>
      </c>
      <c r="AI10" s="148">
        <f t="shared" si="0"/>
        <v>7.2758368791605577E-3</v>
      </c>
      <c r="AJ10" s="148">
        <f t="shared" si="0"/>
        <v>1.0004163906182306E-2</v>
      </c>
    </row>
    <row r="11" spans="2:36" s="12" customFormat="1" ht="12.75" customHeight="1" thickBot="1" x14ac:dyDescent="0.3">
      <c r="B11" s="278"/>
      <c r="C11" s="19"/>
      <c r="D11" s="22" t="s">
        <v>17</v>
      </c>
      <c r="E11" s="23">
        <f>52438+230288</f>
        <v>282726</v>
      </c>
      <c r="F11" s="23">
        <v>286422</v>
      </c>
      <c r="G11" s="23">
        <v>289379</v>
      </c>
      <c r="H11" s="23">
        <v>297105</v>
      </c>
      <c r="I11" s="23">
        <v>305721</v>
      </c>
      <c r="J11" s="23">
        <v>314092</v>
      </c>
      <c r="K11" s="23">
        <v>322860</v>
      </c>
      <c r="L11" s="23">
        <v>331069</v>
      </c>
      <c r="M11" s="23">
        <v>331555</v>
      </c>
      <c r="N11" s="23">
        <v>327830</v>
      </c>
      <c r="O11" s="23">
        <v>331489</v>
      </c>
      <c r="P11" s="23">
        <v>332882</v>
      </c>
      <c r="Q11" s="23">
        <f>[1]Hommes!$T$11</f>
        <v>330492</v>
      </c>
      <c r="R11" s="23">
        <f>[2]Hommes!$T$11</f>
        <v>330245</v>
      </c>
      <c r="S11" s="23">
        <f>[6]Hommes!$T$11</f>
        <v>334240</v>
      </c>
      <c r="T11" s="23">
        <f>[7]Hommes!$T$11</f>
        <v>340604</v>
      </c>
      <c r="U11" s="23">
        <v>347249</v>
      </c>
      <c r="W11" s="233"/>
      <c r="X11" s="233"/>
      <c r="Y11" s="35">
        <v>369732</v>
      </c>
      <c r="Z11" s="35">
        <v>373254</v>
      </c>
      <c r="AA11" s="35">
        <v>380721</v>
      </c>
      <c r="AB11" s="35">
        <f>[5]recto!$E$11</f>
        <v>387744</v>
      </c>
      <c r="AC11" s="35">
        <f>[18]recto!$E$11</f>
        <v>395428</v>
      </c>
      <c r="AE11" s="148"/>
      <c r="AF11" s="148"/>
      <c r="AG11" s="148">
        <f t="shared" si="0"/>
        <v>9.5258187011131312E-3</v>
      </c>
      <c r="AH11" s="148">
        <f t="shared" si="0"/>
        <v>2.0005143950232229E-2</v>
      </c>
      <c r="AI11" s="148">
        <f t="shared" si="0"/>
        <v>1.8446578990914508E-2</v>
      </c>
      <c r="AJ11" s="148">
        <f t="shared" si="0"/>
        <v>1.9817198976644468E-2</v>
      </c>
    </row>
    <row r="12" spans="2:36" s="12" customFormat="1" ht="12.75" customHeight="1" thickBot="1" x14ac:dyDescent="0.3">
      <c r="B12" s="278"/>
      <c r="C12" s="19"/>
      <c r="D12" s="22" t="s">
        <v>18</v>
      </c>
      <c r="E12" s="23">
        <v>528594</v>
      </c>
      <c r="F12" s="23">
        <v>522353</v>
      </c>
      <c r="G12" s="23">
        <v>512448</v>
      </c>
      <c r="H12" s="23">
        <v>507279</v>
      </c>
      <c r="I12" s="23">
        <v>504668</v>
      </c>
      <c r="J12" s="23">
        <v>502273</v>
      </c>
      <c r="K12" s="23">
        <v>502752</v>
      </c>
      <c r="L12" s="23">
        <v>504098</v>
      </c>
      <c r="M12" s="23">
        <v>498405</v>
      </c>
      <c r="N12" s="23">
        <v>485106</v>
      </c>
      <c r="O12" s="23">
        <v>477242</v>
      </c>
      <c r="P12" s="23">
        <v>465816</v>
      </c>
      <c r="Q12" s="23">
        <v>455295</v>
      </c>
      <c r="R12" s="23">
        <v>447287</v>
      </c>
      <c r="S12" s="23">
        <v>437756</v>
      </c>
      <c r="T12" s="23">
        <v>431442</v>
      </c>
      <c r="U12" s="23">
        <v>427326</v>
      </c>
      <c r="W12" s="233"/>
      <c r="X12" s="233"/>
      <c r="Y12" s="35">
        <v>423542</v>
      </c>
      <c r="Z12" s="35">
        <v>421059</v>
      </c>
      <c r="AA12" s="35">
        <v>422935</v>
      </c>
      <c r="AB12" s="35">
        <f>[5]recto!$E$12</f>
        <v>424147</v>
      </c>
      <c r="AC12" s="35">
        <f>[18]recto!$E$12</f>
        <v>428904</v>
      </c>
      <c r="AE12" s="148"/>
      <c r="AF12" s="148"/>
      <c r="AG12" s="148">
        <f t="shared" si="0"/>
        <v>-5.862464643412002E-3</v>
      </c>
      <c r="AH12" s="148">
        <f t="shared" si="0"/>
        <v>4.4554326115817666E-3</v>
      </c>
      <c r="AI12" s="148">
        <f t="shared" si="0"/>
        <v>2.8656885809876798E-3</v>
      </c>
      <c r="AJ12" s="148">
        <f t="shared" si="0"/>
        <v>1.1215451246855412E-2</v>
      </c>
    </row>
    <row r="13" spans="2:36" s="12" customFormat="1" ht="12.75" customHeight="1" thickBot="1" x14ac:dyDescent="0.3">
      <c r="B13" s="278"/>
      <c r="C13" s="24"/>
      <c r="D13" s="22" t="s">
        <v>19</v>
      </c>
      <c r="E13" s="23">
        <v>4620525</v>
      </c>
      <c r="F13" s="23">
        <v>4810267</v>
      </c>
      <c r="G13" s="23">
        <v>4965769</v>
      </c>
      <c r="H13" s="23">
        <v>5154372</v>
      </c>
      <c r="I13" s="23">
        <v>5346162</v>
      </c>
      <c r="J13" s="23">
        <v>5530724</v>
      </c>
      <c r="K13" s="23">
        <v>5649067</v>
      </c>
      <c r="L13" s="23">
        <v>5784126</v>
      </c>
      <c r="M13" s="23">
        <v>5856870</v>
      </c>
      <c r="N13" s="23">
        <v>5897962</v>
      </c>
      <c r="O13" s="23">
        <v>6008442</v>
      </c>
      <c r="P13" s="23">
        <v>6086422</v>
      </c>
      <c r="Q13" s="23">
        <v>6231675</v>
      </c>
      <c r="R13" s="23">
        <v>6223420</v>
      </c>
      <c r="S13" s="23">
        <v>6267063</v>
      </c>
      <c r="T13" s="23">
        <v>6339466</v>
      </c>
      <c r="U13" s="23">
        <v>6400063</v>
      </c>
      <c r="W13" s="234"/>
      <c r="X13" s="234"/>
      <c r="Y13" s="35">
        <v>6547492</v>
      </c>
      <c r="Z13" s="35">
        <v>6607773</v>
      </c>
      <c r="AA13" s="35">
        <v>6692738</v>
      </c>
      <c r="AB13" s="35">
        <f>SUM(AB10:AB12)</f>
        <v>6743821</v>
      </c>
      <c r="AC13" s="35">
        <f>SUM(AC10:AC12)</f>
        <v>6815606</v>
      </c>
      <c r="AE13" s="148"/>
      <c r="AF13" s="148"/>
      <c r="AG13" s="148">
        <f t="shared" si="0"/>
        <v>9.2067313713404264E-3</v>
      </c>
      <c r="AH13" s="148">
        <f t="shared" si="0"/>
        <v>1.2858341229337045E-2</v>
      </c>
      <c r="AI13" s="148">
        <f t="shared" si="0"/>
        <v>7.6326011865397447E-3</v>
      </c>
      <c r="AJ13" s="148">
        <f t="shared" si="0"/>
        <v>1.0644558922901393E-2</v>
      </c>
    </row>
    <row r="14" spans="2:36" s="12" customFormat="1" ht="17.25" customHeight="1" x14ac:dyDescent="0.25">
      <c r="B14" s="278"/>
      <c r="C14" s="25" t="s">
        <v>111</v>
      </c>
      <c r="D14" s="26"/>
      <c r="E14" s="27">
        <v>19514</v>
      </c>
      <c r="F14" s="27">
        <v>20710</v>
      </c>
      <c r="G14" s="27">
        <v>23042</v>
      </c>
      <c r="H14" s="27">
        <v>24990</v>
      </c>
      <c r="I14" s="27">
        <v>26436</v>
      </c>
      <c r="J14" s="27">
        <v>27485</v>
      </c>
      <c r="K14" s="27">
        <v>28686</v>
      </c>
      <c r="L14" s="27">
        <v>29382</v>
      </c>
      <c r="M14" s="27">
        <v>30350</v>
      </c>
      <c r="N14" s="27">
        <v>31263</v>
      </c>
      <c r="O14" s="27">
        <v>31461</v>
      </c>
      <c r="P14" s="27">
        <v>31451</v>
      </c>
      <c r="Q14" s="27">
        <f>[1]Hommes!$T$23</f>
        <v>31878</v>
      </c>
      <c r="R14" s="27">
        <f>[2]Hommes!$T$23</f>
        <v>32021</v>
      </c>
      <c r="S14" s="27">
        <f>[6]Hommes!$T$23</f>
        <v>31961</v>
      </c>
      <c r="T14" s="27">
        <f>[7]Hommes!$T$23</f>
        <v>31993</v>
      </c>
      <c r="U14" s="27">
        <v>32429</v>
      </c>
      <c r="W14" s="27">
        <v>30921</v>
      </c>
      <c r="X14" s="27">
        <v>30611</v>
      </c>
      <c r="Y14" s="27">
        <v>30678</v>
      </c>
      <c r="Z14" s="27">
        <v>30477</v>
      </c>
      <c r="AA14" s="27">
        <v>31017</v>
      </c>
      <c r="AB14" s="27">
        <f>[5]recto!$E$21</f>
        <v>31451</v>
      </c>
      <c r="AC14" s="27">
        <f>[18]recto!$E$21</f>
        <v>31968</v>
      </c>
      <c r="AE14" s="149">
        <f>X14/W14-1</f>
        <v>-1.0025548979657795E-2</v>
      </c>
      <c r="AF14" s="149">
        <f>Y14/X14-1</f>
        <v>2.1887556760642468E-3</v>
      </c>
      <c r="AG14" s="149">
        <f t="shared" si="0"/>
        <v>-6.5519264619596784E-3</v>
      </c>
      <c r="AH14" s="149">
        <f t="shared" si="0"/>
        <v>1.771827935820447E-2</v>
      </c>
      <c r="AI14" s="149">
        <f t="shared" si="0"/>
        <v>1.3992326788535348E-2</v>
      </c>
      <c r="AJ14" s="149">
        <f t="shared" si="0"/>
        <v>1.643826905344814E-2</v>
      </c>
    </row>
    <row r="15" spans="2:36" s="12" customFormat="1" ht="20.25" customHeight="1" x14ac:dyDescent="0.25">
      <c r="B15" s="278"/>
      <c r="C15" s="28" t="s">
        <v>5</v>
      </c>
      <c r="D15" s="29"/>
      <c r="E15" s="30">
        <f>E9+E14</f>
        <v>4640588</v>
      </c>
      <c r="F15" s="30">
        <f>F9+F14</f>
        <v>4831444</v>
      </c>
      <c r="G15" s="30">
        <f>G9+G14</f>
        <v>4989194</v>
      </c>
      <c r="H15" s="30">
        <f t="shared" ref="H15:S15" si="1">H9+H14</f>
        <v>5179667</v>
      </c>
      <c r="I15" s="30">
        <f t="shared" si="1"/>
        <v>5372868</v>
      </c>
      <c r="J15" s="30">
        <f t="shared" si="1"/>
        <v>5558441</v>
      </c>
      <c r="K15" s="30">
        <f t="shared" si="1"/>
        <v>5677953</v>
      </c>
      <c r="L15" s="30">
        <f t="shared" si="1"/>
        <v>5813680</v>
      </c>
      <c r="M15" s="30">
        <f t="shared" si="1"/>
        <v>5887375</v>
      </c>
      <c r="N15" s="30">
        <f t="shared" si="1"/>
        <v>5929357</v>
      </c>
      <c r="O15" s="30">
        <f t="shared" si="1"/>
        <v>6040019</v>
      </c>
      <c r="P15" s="30">
        <f t="shared" si="1"/>
        <v>6117963</v>
      </c>
      <c r="Q15" s="30">
        <f t="shared" si="1"/>
        <v>6263630</v>
      </c>
      <c r="R15" s="30">
        <f t="shared" si="1"/>
        <v>6255508</v>
      </c>
      <c r="S15" s="30">
        <f t="shared" si="1"/>
        <v>6299077</v>
      </c>
      <c r="T15" s="30">
        <f>T9+T14</f>
        <v>6371507</v>
      </c>
      <c r="U15" s="30">
        <v>6432528</v>
      </c>
      <c r="W15" s="30">
        <v>6533041</v>
      </c>
      <c r="X15" s="30">
        <v>6538514</v>
      </c>
      <c r="Y15" s="30">
        <v>6578212</v>
      </c>
      <c r="Z15" s="30">
        <v>6638279</v>
      </c>
      <c r="AA15" s="30">
        <v>6723778</v>
      </c>
      <c r="AB15" s="30">
        <f>AB14+AB9</f>
        <v>6775293</v>
      </c>
      <c r="AC15" s="30">
        <f>AC14+AC9</f>
        <v>6847592</v>
      </c>
      <c r="AE15" s="150">
        <f>X15/W15-1</f>
        <v>8.3774156629345953E-4</v>
      </c>
      <c r="AF15" s="150">
        <f>Y15/X15-1</f>
        <v>6.0714101093917172E-3</v>
      </c>
      <c r="AG15" s="150">
        <f t="shared" si="0"/>
        <v>9.1312046495308774E-3</v>
      </c>
      <c r="AH15" s="150">
        <f t="shared" si="0"/>
        <v>1.2879693667590564E-2</v>
      </c>
      <c r="AI15" s="150">
        <f t="shared" si="0"/>
        <v>7.661615240717401E-3</v>
      </c>
      <c r="AJ15" s="150">
        <f t="shared" si="0"/>
        <v>1.0670977624141154E-2</v>
      </c>
    </row>
    <row r="16" spans="2:36" s="12" customFormat="1" ht="12.75" customHeight="1" thickBot="1" x14ac:dyDescent="0.3">
      <c r="B16" s="278"/>
      <c r="C16" s="280" t="s">
        <v>6</v>
      </c>
      <c r="D16" s="280"/>
      <c r="E16" s="31"/>
      <c r="F16" s="31"/>
      <c r="G16" s="31"/>
      <c r="H16" s="31"/>
      <c r="I16" s="31"/>
      <c r="J16" s="31"/>
      <c r="K16" s="31"/>
      <c r="L16" s="31"/>
      <c r="M16" s="31"/>
      <c r="N16" s="31"/>
      <c r="AE16" s="151"/>
      <c r="AF16" s="151"/>
      <c r="AG16" s="151"/>
      <c r="AH16" s="151"/>
      <c r="AI16" s="151"/>
      <c r="AJ16" s="151"/>
    </row>
    <row r="17" spans="2:36" s="12" customFormat="1" ht="12.75" customHeight="1" thickBot="1" x14ac:dyDescent="0.3">
      <c r="B17" s="278"/>
      <c r="C17" s="6"/>
      <c r="D17" s="32" t="s">
        <v>7</v>
      </c>
      <c r="E17" s="33">
        <v>0</v>
      </c>
      <c r="F17" s="34">
        <v>93353</v>
      </c>
      <c r="G17" s="34">
        <v>176336</v>
      </c>
      <c r="H17" s="34">
        <v>259837</v>
      </c>
      <c r="I17" s="34">
        <v>346445</v>
      </c>
      <c r="J17" s="34">
        <v>436511</v>
      </c>
      <c r="K17" s="34">
        <v>452368</v>
      </c>
      <c r="L17" s="34">
        <v>480633</v>
      </c>
      <c r="M17" s="34">
        <v>503892</v>
      </c>
      <c r="N17" s="34">
        <v>553589</v>
      </c>
      <c r="O17" s="34">
        <v>645863</v>
      </c>
      <c r="P17" s="35">
        <v>741513</v>
      </c>
      <c r="Q17" s="35">
        <v>838672</v>
      </c>
      <c r="R17" s="35">
        <v>937506</v>
      </c>
      <c r="S17" s="35">
        <v>1038071</v>
      </c>
      <c r="T17" s="35">
        <v>1123036</v>
      </c>
      <c r="U17" s="35">
        <v>1196762</v>
      </c>
      <c r="W17" s="35">
        <v>1221806</v>
      </c>
      <c r="X17" s="35">
        <v>1301554</v>
      </c>
      <c r="Y17" s="35">
        <v>1373303</v>
      </c>
      <c r="Z17" s="35">
        <v>1444473</v>
      </c>
      <c r="AA17" s="35">
        <v>1511783</v>
      </c>
      <c r="AB17" s="35">
        <f>[5]recto!$E$40</f>
        <v>1568437</v>
      </c>
      <c r="AC17" s="35">
        <f>[18]recto!$E$40</f>
        <v>1627651</v>
      </c>
      <c r="AE17" s="148">
        <f t="shared" ref="AE17:AE45" si="2">X17/W17-1</f>
        <v>6.5270591239525722E-2</v>
      </c>
      <c r="AF17" s="148">
        <f t="shared" ref="AF17:AJ46" si="3">Y17/X17-1</f>
        <v>5.512564211703852E-2</v>
      </c>
      <c r="AG17" s="148">
        <f t="shared" si="3"/>
        <v>5.1823960189411933E-2</v>
      </c>
      <c r="AH17" s="148">
        <f t="shared" si="3"/>
        <v>4.6598309556495687E-2</v>
      </c>
      <c r="AI17" s="148">
        <f t="shared" ref="AI17" si="4">AB17/AA17-1</f>
        <v>3.747495506960985E-2</v>
      </c>
      <c r="AJ17" s="148">
        <f t="shared" ref="AJ17" si="5">AC17/AB17-1</f>
        <v>3.775350874788086E-2</v>
      </c>
    </row>
    <row r="18" spans="2:36" s="12" customFormat="1" ht="12.75" customHeight="1" thickBot="1" x14ac:dyDescent="0.3">
      <c r="B18" s="278"/>
      <c r="C18" s="6"/>
      <c r="D18" s="32" t="s">
        <v>8</v>
      </c>
      <c r="E18" s="33">
        <v>0</v>
      </c>
      <c r="F18" s="34">
        <v>180</v>
      </c>
      <c r="G18" s="34">
        <v>1018</v>
      </c>
      <c r="H18" s="34">
        <v>1756</v>
      </c>
      <c r="I18" s="34">
        <v>2502</v>
      </c>
      <c r="J18" s="34">
        <v>3345</v>
      </c>
      <c r="K18" s="34">
        <v>3898</v>
      </c>
      <c r="L18" s="34">
        <v>4639</v>
      </c>
      <c r="M18" s="34">
        <v>5406</v>
      </c>
      <c r="N18" s="34">
        <v>6602</v>
      </c>
      <c r="O18" s="34">
        <v>8021</v>
      </c>
      <c r="P18" s="35">
        <v>9425</v>
      </c>
      <c r="Q18" s="35">
        <v>11000</v>
      </c>
      <c r="R18" s="35">
        <v>12652</v>
      </c>
      <c r="S18" s="35">
        <v>14212</v>
      </c>
      <c r="T18" s="35">
        <v>15716</v>
      </c>
      <c r="U18" s="35">
        <f>'[8]Retraités en paiement au 31-12'!$U$18+'[8]Retraités en paiement au 31-12'!$U$19</f>
        <v>17155</v>
      </c>
      <c r="W18" s="35">
        <v>17987</v>
      </c>
      <c r="X18" s="35">
        <v>19200</v>
      </c>
      <c r="Y18" s="35">
        <v>20394</v>
      </c>
      <c r="Z18" s="35">
        <v>21424</v>
      </c>
      <c r="AA18" s="35">
        <v>22551</v>
      </c>
      <c r="AB18" s="35">
        <f>[5]recto!$E$41</f>
        <v>23876</v>
      </c>
      <c r="AC18" s="35">
        <f>[18]recto!$E$41</f>
        <v>25206</v>
      </c>
      <c r="AE18" s="148">
        <f t="shared" si="2"/>
        <v>6.743759381775738E-2</v>
      </c>
      <c r="AF18" s="148">
        <f t="shared" si="3"/>
        <v>6.2187500000000062E-2</v>
      </c>
      <c r="AG18" s="148">
        <f t="shared" si="3"/>
        <v>5.0505050505050608E-2</v>
      </c>
      <c r="AH18" s="148">
        <f t="shared" si="3"/>
        <v>5.2604555638536166E-2</v>
      </c>
      <c r="AI18" s="148">
        <f t="shared" si="3"/>
        <v>5.8755709281184787E-2</v>
      </c>
      <c r="AJ18" s="148">
        <f t="shared" si="3"/>
        <v>5.5704473111073849E-2</v>
      </c>
    </row>
    <row r="19" spans="2:36" s="12" customFormat="1" ht="12.75" customHeight="1" thickBot="1" x14ac:dyDescent="0.3">
      <c r="B19" s="278"/>
      <c r="C19" s="36"/>
      <c r="D19" s="32" t="s">
        <v>9</v>
      </c>
      <c r="E19" s="33">
        <v>0</v>
      </c>
      <c r="F19" s="33">
        <v>0</v>
      </c>
      <c r="G19" s="33">
        <v>0</v>
      </c>
      <c r="H19" s="33">
        <v>0</v>
      </c>
      <c r="I19" s="33">
        <v>0</v>
      </c>
      <c r="J19" s="33">
        <v>0</v>
      </c>
      <c r="K19" s="33">
        <v>0</v>
      </c>
      <c r="L19" s="33">
        <v>0</v>
      </c>
      <c r="M19" s="34">
        <v>1731</v>
      </c>
      <c r="N19" s="34">
        <v>6155</v>
      </c>
      <c r="O19" s="34">
        <v>10726</v>
      </c>
      <c r="P19" s="35">
        <v>15420</v>
      </c>
      <c r="Q19" s="35">
        <v>19951</v>
      </c>
      <c r="R19" s="35">
        <v>24017</v>
      </c>
      <c r="S19" s="35">
        <v>27846</v>
      </c>
      <c r="T19" s="35">
        <v>30975</v>
      </c>
      <c r="U19" s="35">
        <v>33955</v>
      </c>
      <c r="W19" s="35">
        <v>33955</v>
      </c>
      <c r="X19" s="35">
        <v>36404</v>
      </c>
      <c r="Y19" s="35">
        <v>38476</v>
      </c>
      <c r="Z19" s="35">
        <v>40117</v>
      </c>
      <c r="AA19" s="35">
        <v>41363</v>
      </c>
      <c r="AB19" s="35">
        <f>[5]recto!$E$42</f>
        <v>42438</v>
      </c>
      <c r="AC19" s="35">
        <f>[18]recto!$E$42</f>
        <v>43319</v>
      </c>
      <c r="AE19" s="148">
        <f t="shared" si="2"/>
        <v>7.2124871152996706E-2</v>
      </c>
      <c r="AF19" s="148">
        <f t="shared" si="3"/>
        <v>5.6916822327216732E-2</v>
      </c>
      <c r="AG19" s="148">
        <f t="shared" si="3"/>
        <v>4.264996361368123E-2</v>
      </c>
      <c r="AH19" s="148">
        <f t="shared" si="3"/>
        <v>3.1059151980457056E-2</v>
      </c>
      <c r="AI19" s="148">
        <f t="shared" si="3"/>
        <v>2.5989410826100512E-2</v>
      </c>
      <c r="AJ19" s="148">
        <f t="shared" si="3"/>
        <v>2.0759696498421132E-2</v>
      </c>
    </row>
    <row r="20" spans="2:36" s="12" customFormat="1" ht="12.75" customHeight="1" thickBot="1" x14ac:dyDescent="0.3">
      <c r="B20" s="278"/>
      <c r="C20" s="36"/>
      <c r="D20" s="22" t="s">
        <v>10</v>
      </c>
      <c r="E20" s="33">
        <v>0</v>
      </c>
      <c r="F20" s="33">
        <v>0</v>
      </c>
      <c r="G20" s="33">
        <v>0</v>
      </c>
      <c r="H20" s="33">
        <v>0</v>
      </c>
      <c r="I20" s="33">
        <v>0</v>
      </c>
      <c r="J20" s="33">
        <v>0</v>
      </c>
      <c r="K20" s="33">
        <v>0</v>
      </c>
      <c r="L20" s="33">
        <v>0</v>
      </c>
      <c r="M20" s="34">
        <v>558</v>
      </c>
      <c r="N20" s="34">
        <v>2652</v>
      </c>
      <c r="O20" s="34">
        <v>4906</v>
      </c>
      <c r="P20" s="35">
        <v>6955</v>
      </c>
      <c r="Q20" s="35">
        <v>9105</v>
      </c>
      <c r="R20" s="35">
        <v>11172</v>
      </c>
      <c r="S20" s="35">
        <v>13211</v>
      </c>
      <c r="T20" s="35">
        <v>15016</v>
      </c>
      <c r="U20" s="35">
        <v>16783</v>
      </c>
      <c r="W20" s="35">
        <v>16783</v>
      </c>
      <c r="X20" s="35">
        <v>18382</v>
      </c>
      <c r="Y20" s="35">
        <v>20042</v>
      </c>
      <c r="Z20" s="35">
        <v>22121</v>
      </c>
      <c r="AA20" s="35">
        <v>24723</v>
      </c>
      <c r="AB20" s="35">
        <f>[5]recto!$E$43</f>
        <v>27229</v>
      </c>
      <c r="AC20" s="35">
        <f>[18]recto!$E$43</f>
        <v>30396</v>
      </c>
      <c r="AE20" s="148">
        <f t="shared" si="2"/>
        <v>9.5274980635166484E-2</v>
      </c>
      <c r="AF20" s="148">
        <f t="shared" si="3"/>
        <v>9.0305733870090332E-2</v>
      </c>
      <c r="AG20" s="148">
        <f t="shared" si="3"/>
        <v>0.10373216245883654</v>
      </c>
      <c r="AH20" s="148">
        <f t="shared" si="3"/>
        <v>0.11762578545273716</v>
      </c>
      <c r="AI20" s="148">
        <f t="shared" si="3"/>
        <v>0.10136310318327069</v>
      </c>
      <c r="AJ20" s="148">
        <f t="shared" si="3"/>
        <v>0.11630981673950558</v>
      </c>
    </row>
    <row r="21" spans="2:36" s="12" customFormat="1" ht="12.75" customHeight="1" thickBot="1" x14ac:dyDescent="0.3">
      <c r="B21" s="279"/>
      <c r="C21" s="37"/>
      <c r="D21" s="38"/>
      <c r="E21" s="39"/>
      <c r="F21" s="39"/>
      <c r="G21" s="39"/>
      <c r="H21" s="39"/>
      <c r="I21" s="39"/>
      <c r="J21" s="39"/>
      <c r="K21" s="39"/>
      <c r="L21" s="39"/>
      <c r="M21" s="39"/>
      <c r="N21" s="39"/>
      <c r="O21" s="38"/>
      <c r="P21" s="38"/>
      <c r="Q21" s="38"/>
      <c r="R21" s="38"/>
      <c r="S21" s="38"/>
      <c r="T21" s="38"/>
      <c r="U21" s="38"/>
      <c r="W21" s="38"/>
      <c r="X21" s="38"/>
      <c r="Y21" s="38"/>
      <c r="Z21" s="38"/>
      <c r="AA21" s="38"/>
      <c r="AB21" s="38"/>
      <c r="AC21" s="38"/>
      <c r="AE21" s="152"/>
      <c r="AF21" s="152"/>
      <c r="AG21" s="152"/>
      <c r="AH21" s="152"/>
      <c r="AI21" s="152"/>
      <c r="AJ21" s="152"/>
    </row>
    <row r="22" spans="2:36" s="43" customFormat="1" ht="17.25" customHeight="1" thickTop="1" thickBot="1" x14ac:dyDescent="0.3">
      <c r="B22" s="281" t="s">
        <v>11</v>
      </c>
      <c r="C22" s="40" t="s">
        <v>3</v>
      </c>
      <c r="D22" s="41"/>
      <c r="E22" s="42">
        <v>4971425</v>
      </c>
      <c r="F22" s="42">
        <v>5109807</v>
      </c>
      <c r="G22" s="42">
        <v>5244104</v>
      </c>
      <c r="H22" s="42">
        <v>5424292</v>
      </c>
      <c r="I22" s="42">
        <v>5630028</v>
      </c>
      <c r="J22" s="42">
        <v>5832306</v>
      </c>
      <c r="K22" s="42">
        <v>6029012</v>
      </c>
      <c r="L22" s="42">
        <v>6231840</v>
      </c>
      <c r="M22" s="42">
        <v>6382354</v>
      </c>
      <c r="N22" s="42">
        <v>6480310</v>
      </c>
      <c r="O22" s="42">
        <v>6645837</v>
      </c>
      <c r="P22" s="42">
        <v>6775027</v>
      </c>
      <c r="Q22" s="42">
        <f>Q26+[1]Femmes!$T$19</f>
        <v>6888007</v>
      </c>
      <c r="R22" s="42">
        <f>R26+[2]Femmes!$T$19</f>
        <v>7000269</v>
      </c>
      <c r="S22" s="42">
        <f>S26+[6]Femmes!$T$19</f>
        <v>7112625</v>
      </c>
      <c r="T22" s="42">
        <f>T26+[7]Femmes!$T$19</f>
        <v>7249738</v>
      </c>
      <c r="U22" s="42">
        <v>7374460</v>
      </c>
      <c r="W22" s="42">
        <v>7437563</v>
      </c>
      <c r="X22" s="42">
        <v>7521894</v>
      </c>
      <c r="Y22" s="42">
        <v>7628639</v>
      </c>
      <c r="Z22" s="18">
        <v>7747975</v>
      </c>
      <c r="AA22" s="18">
        <v>7872909</v>
      </c>
      <c r="AB22" s="18">
        <f>[5]recto!$F$9</f>
        <v>7964992</v>
      </c>
      <c r="AC22" s="18">
        <f>[18]recto!$F$9</f>
        <v>8079220</v>
      </c>
      <c r="AE22" s="153">
        <f t="shared" si="2"/>
        <v>1.133852580475625E-2</v>
      </c>
      <c r="AF22" s="153">
        <f t="shared" si="3"/>
        <v>1.4191239600026329E-2</v>
      </c>
      <c r="AG22" s="153">
        <f t="shared" si="3"/>
        <v>1.5643157318100842E-2</v>
      </c>
      <c r="AH22" s="153">
        <f t="shared" si="3"/>
        <v>1.6124729364769497E-2</v>
      </c>
      <c r="AI22" s="153">
        <f t="shared" si="3"/>
        <v>1.1696184980672264E-2</v>
      </c>
      <c r="AJ22" s="153">
        <f t="shared" si="3"/>
        <v>1.4341257342129099E-2</v>
      </c>
    </row>
    <row r="23" spans="2:36" s="12" customFormat="1" ht="12.75" customHeight="1" thickBot="1" x14ac:dyDescent="0.3">
      <c r="B23" s="282"/>
      <c r="C23" s="19" t="s">
        <v>12</v>
      </c>
      <c r="D23" s="20" t="s">
        <v>16</v>
      </c>
      <c r="E23" s="23">
        <v>3648425</v>
      </c>
      <c r="F23" s="23">
        <v>3780181</v>
      </c>
      <c r="G23" s="23">
        <v>3912497</v>
      </c>
      <c r="H23" s="23">
        <v>4079662</v>
      </c>
      <c r="I23" s="23">
        <v>4269696</v>
      </c>
      <c r="J23" s="23">
        <v>4460643</v>
      </c>
      <c r="K23" s="23">
        <v>4642917</v>
      </c>
      <c r="L23" s="23">
        <v>4832275</v>
      </c>
      <c r="M23" s="23">
        <v>4989061</v>
      </c>
      <c r="N23" s="23">
        <v>5108967</v>
      </c>
      <c r="O23" s="23">
        <v>5282145</v>
      </c>
      <c r="P23" s="23">
        <v>5427296</v>
      </c>
      <c r="Q23" s="23">
        <f>[1]Femmes!$T$10</f>
        <v>5559743</v>
      </c>
      <c r="R23" s="23">
        <f>[2]Femmes!$T$10</f>
        <v>5685415</v>
      </c>
      <c r="S23" s="23">
        <f>[6]Femmes!$T$10</f>
        <v>5804198</v>
      </c>
      <c r="T23" s="23">
        <f>[7]Femmes!$T$10</f>
        <v>5941523</v>
      </c>
      <c r="U23" s="21">
        <v>6063711</v>
      </c>
      <c r="W23" s="232" t="s">
        <v>89</v>
      </c>
      <c r="X23" s="232"/>
      <c r="Y23" s="35">
        <v>6308750</v>
      </c>
      <c r="Z23" s="35">
        <v>6427033</v>
      </c>
      <c r="AA23" s="35">
        <v>6543939</v>
      </c>
      <c r="AB23" s="35">
        <f>[5]recto!$F$10</f>
        <v>6627368</v>
      </c>
      <c r="AC23" s="35">
        <f>[18]recto!$F$10</f>
        <v>6728205</v>
      </c>
      <c r="AE23" s="148"/>
      <c r="AF23" s="148"/>
      <c r="AG23" s="148">
        <f t="shared" si="3"/>
        <v>1.8749039033088888E-2</v>
      </c>
      <c r="AH23" s="148">
        <f t="shared" si="3"/>
        <v>1.818973078246211E-2</v>
      </c>
      <c r="AI23" s="148">
        <f t="shared" si="3"/>
        <v>1.2749049158312653E-2</v>
      </c>
      <c r="AJ23" s="148">
        <f t="shared" si="3"/>
        <v>1.5215240801476515E-2</v>
      </c>
    </row>
    <row r="24" spans="2:36" s="12" customFormat="1" ht="12.75" customHeight="1" thickBot="1" x14ac:dyDescent="0.3">
      <c r="B24" s="282"/>
      <c r="C24" s="19"/>
      <c r="D24" s="22" t="s">
        <v>17</v>
      </c>
      <c r="E24" s="23">
        <f>87214+227664</f>
        <v>314878</v>
      </c>
      <c r="F24" s="23">
        <v>317995</v>
      </c>
      <c r="G24" s="23">
        <v>321841</v>
      </c>
      <c r="H24" s="23">
        <v>330742</v>
      </c>
      <c r="I24" s="23">
        <v>341703</v>
      </c>
      <c r="J24" s="23">
        <v>352414</v>
      </c>
      <c r="K24" s="23">
        <v>364508</v>
      </c>
      <c r="L24" s="23">
        <v>377427</v>
      </c>
      <c r="M24" s="23">
        <v>381634</v>
      </c>
      <c r="N24" s="23">
        <v>382471</v>
      </c>
      <c r="O24" s="23">
        <v>391820</v>
      </c>
      <c r="P24" s="23">
        <v>398279</v>
      </c>
      <c r="Q24" s="23">
        <f>[1]Femmes!$T$11</f>
        <v>401761</v>
      </c>
      <c r="R24" s="23">
        <f>[2]Femmes!$T$11</f>
        <v>408244</v>
      </c>
      <c r="S24" s="23">
        <f>[6]Femmes!$T$11</f>
        <v>420503</v>
      </c>
      <c r="T24" s="23">
        <f>[7]Femmes!$T$11</f>
        <v>435957</v>
      </c>
      <c r="U24" s="23">
        <v>451320</v>
      </c>
      <c r="W24" s="233"/>
      <c r="X24" s="233"/>
      <c r="Y24" s="35">
        <v>487940</v>
      </c>
      <c r="Z24" s="35">
        <v>502377</v>
      </c>
      <c r="AA24" s="35">
        <v>519614</v>
      </c>
      <c r="AB24" s="35">
        <f>[5]recto!$F$11</f>
        <v>537391</v>
      </c>
      <c r="AC24" s="35">
        <f>[18]recto!$F$11</f>
        <v>556294</v>
      </c>
      <c r="AE24" s="148"/>
      <c r="AF24" s="148"/>
      <c r="AG24" s="148">
        <f t="shared" si="3"/>
        <v>2.9587654219781045E-2</v>
      </c>
      <c r="AH24" s="148">
        <f t="shared" si="3"/>
        <v>3.4310886047729028E-2</v>
      </c>
      <c r="AI24" s="148">
        <f t="shared" si="3"/>
        <v>3.4211934243496112E-2</v>
      </c>
      <c r="AJ24" s="148">
        <f t="shared" si="3"/>
        <v>3.5175505358295833E-2</v>
      </c>
    </row>
    <row r="25" spans="2:36" s="12" customFormat="1" ht="12.75" customHeight="1" thickBot="1" x14ac:dyDescent="0.3">
      <c r="B25" s="282"/>
      <c r="C25" s="19"/>
      <c r="D25" s="22" t="s">
        <v>18</v>
      </c>
      <c r="E25" s="23">
        <v>1004186</v>
      </c>
      <c r="F25" s="23">
        <v>1008201</v>
      </c>
      <c r="G25" s="23">
        <v>1006744</v>
      </c>
      <c r="H25" s="23">
        <v>1011123</v>
      </c>
      <c r="I25" s="23">
        <v>1016230</v>
      </c>
      <c r="J25" s="23">
        <v>1018182</v>
      </c>
      <c r="K25" s="23">
        <v>1019682</v>
      </c>
      <c r="L25" s="23">
        <v>1020475</v>
      </c>
      <c r="M25" s="23">
        <v>1010227</v>
      </c>
      <c r="N25" s="23">
        <v>987639</v>
      </c>
      <c r="O25" s="23">
        <v>970786</v>
      </c>
      <c r="P25" s="23">
        <v>948527</v>
      </c>
      <c r="Q25" s="23">
        <f>[1]Femmes!$T$12</f>
        <v>925714</v>
      </c>
      <c r="R25" s="23">
        <f>[2]Femmes!$T$12</f>
        <v>905925</v>
      </c>
      <c r="S25" s="23">
        <f>[6]Femmes!$T$12</f>
        <v>887337</v>
      </c>
      <c r="T25" s="23">
        <f>[7]Femmes!$T$12</f>
        <v>871755</v>
      </c>
      <c r="U25" s="23">
        <v>858979</v>
      </c>
      <c r="W25" s="233"/>
      <c r="X25" s="233"/>
      <c r="Y25" s="35">
        <v>831606</v>
      </c>
      <c r="Z25" s="35">
        <v>818281</v>
      </c>
      <c r="AA25" s="35">
        <v>809110</v>
      </c>
      <c r="AB25" s="35">
        <f>[5]recto!$F$12</f>
        <v>800025</v>
      </c>
      <c r="AC25" s="35">
        <f>[18]recto!$F$12</f>
        <v>794544</v>
      </c>
      <c r="AE25" s="148"/>
      <c r="AF25" s="148"/>
      <c r="AG25" s="148">
        <f t="shared" si="3"/>
        <v>-1.6023212915731722E-2</v>
      </c>
      <c r="AH25" s="148">
        <f t="shared" si="3"/>
        <v>-1.1207641384805456E-2</v>
      </c>
      <c r="AI25" s="148">
        <f t="shared" si="3"/>
        <v>-1.1228386745930741E-2</v>
      </c>
      <c r="AJ25" s="148">
        <f t="shared" si="3"/>
        <v>-6.8510359051279224E-3</v>
      </c>
    </row>
    <row r="26" spans="2:36" s="12" customFormat="1" ht="12.75" customHeight="1" thickBot="1" x14ac:dyDescent="0.3">
      <c r="B26" s="282"/>
      <c r="C26" s="24"/>
      <c r="D26" s="22" t="s">
        <v>19</v>
      </c>
      <c r="E26" s="23">
        <v>4967492</v>
      </c>
      <c r="F26" s="23">
        <f t="shared" ref="F26:S26" si="6">SUM(F23:F25)</f>
        <v>5106377</v>
      </c>
      <c r="G26" s="23">
        <f t="shared" si="6"/>
        <v>5241082</v>
      </c>
      <c r="H26" s="23">
        <f t="shared" si="6"/>
        <v>5421527</v>
      </c>
      <c r="I26" s="23">
        <f t="shared" si="6"/>
        <v>5627629</v>
      </c>
      <c r="J26" s="23">
        <f t="shared" si="6"/>
        <v>5831239</v>
      </c>
      <c r="K26" s="23">
        <f t="shared" si="6"/>
        <v>6027107</v>
      </c>
      <c r="L26" s="23">
        <f t="shared" si="6"/>
        <v>6230177</v>
      </c>
      <c r="M26" s="23">
        <f t="shared" si="6"/>
        <v>6380922</v>
      </c>
      <c r="N26" s="23">
        <f t="shared" si="6"/>
        <v>6479077</v>
      </c>
      <c r="O26" s="23">
        <f t="shared" si="6"/>
        <v>6644751</v>
      </c>
      <c r="P26" s="23">
        <f t="shared" si="6"/>
        <v>6774102</v>
      </c>
      <c r="Q26" s="23">
        <f t="shared" si="6"/>
        <v>6887218</v>
      </c>
      <c r="R26" s="23">
        <f t="shared" si="6"/>
        <v>6999584</v>
      </c>
      <c r="S26" s="23">
        <f t="shared" si="6"/>
        <v>7112038</v>
      </c>
      <c r="T26" s="23">
        <f>SUM(T23:T25)</f>
        <v>7249235</v>
      </c>
      <c r="U26" s="23">
        <v>7374010</v>
      </c>
      <c r="W26" s="234"/>
      <c r="X26" s="234"/>
      <c r="Y26" s="35">
        <v>7628296</v>
      </c>
      <c r="Z26" s="35">
        <v>7747691</v>
      </c>
      <c r="AA26" s="35">
        <v>7872663</v>
      </c>
      <c r="AB26" s="35">
        <f>SUM(AB23:AB25)</f>
        <v>7964784</v>
      </c>
      <c r="AC26" s="35">
        <f>SUM(AC23:AC25)</f>
        <v>8079043</v>
      </c>
      <c r="AE26" s="148"/>
      <c r="AF26" s="148"/>
      <c r="AG26" s="148">
        <f t="shared" si="3"/>
        <v>1.5651595061334733E-2</v>
      </c>
      <c r="AH26" s="148">
        <f t="shared" si="3"/>
        <v>1.6130225121265163E-2</v>
      </c>
      <c r="AI26" s="148">
        <f t="shared" si="3"/>
        <v>1.1701377284916159E-2</v>
      </c>
      <c r="AJ26" s="148">
        <f t="shared" si="3"/>
        <v>1.4345523996633247E-2</v>
      </c>
    </row>
    <row r="27" spans="2:36" s="12" customFormat="1" ht="17.25" customHeight="1" x14ac:dyDescent="0.25">
      <c r="B27" s="282"/>
      <c r="C27" s="26" t="s">
        <v>111</v>
      </c>
      <c r="D27" s="26"/>
      <c r="E27" s="27">
        <v>798976</v>
      </c>
      <c r="F27" s="27">
        <v>806153</v>
      </c>
      <c r="G27" s="27">
        <v>828880</v>
      </c>
      <c r="H27" s="27">
        <v>844710</v>
      </c>
      <c r="I27" s="27">
        <v>849956</v>
      </c>
      <c r="J27" s="27">
        <v>849524</v>
      </c>
      <c r="K27" s="27">
        <v>847556</v>
      </c>
      <c r="L27" s="27">
        <v>839316</v>
      </c>
      <c r="M27" s="27">
        <v>832340</v>
      </c>
      <c r="N27" s="27">
        <v>825407</v>
      </c>
      <c r="O27" s="27">
        <v>813225</v>
      </c>
      <c r="P27" s="27">
        <v>793750</v>
      </c>
      <c r="Q27" s="27">
        <f>[1]Femmes!$T$23</f>
        <v>781898</v>
      </c>
      <c r="R27" s="27">
        <f>[2]Femmes!$T$23</f>
        <v>768861</v>
      </c>
      <c r="S27" s="27">
        <f>[6]Femmes!$T$23</f>
        <v>727832</v>
      </c>
      <c r="T27" s="27">
        <f>[7]Femmes!$T$23</f>
        <v>731175</v>
      </c>
      <c r="U27" s="27">
        <v>734754</v>
      </c>
      <c r="W27" s="27">
        <v>740233</v>
      </c>
      <c r="X27" s="27">
        <v>690280</v>
      </c>
      <c r="Y27" s="27">
        <v>677707</v>
      </c>
      <c r="Z27" s="27">
        <v>662917</v>
      </c>
      <c r="AA27" s="27">
        <v>655252</v>
      </c>
      <c r="AB27" s="27">
        <f>[5]recto!$F$21</f>
        <v>648734</v>
      </c>
      <c r="AC27" s="27">
        <f>[18]recto!$F$21</f>
        <v>640638</v>
      </c>
      <c r="AE27" s="149">
        <f t="shared" si="2"/>
        <v>-6.7482806089434022E-2</v>
      </c>
      <c r="AF27" s="149">
        <f t="shared" si="3"/>
        <v>-1.8214347800892372E-2</v>
      </c>
      <c r="AG27" s="149">
        <f t="shared" si="3"/>
        <v>-2.1823590430672835E-2</v>
      </c>
      <c r="AH27" s="149">
        <f t="shared" si="3"/>
        <v>-1.1562533469499203E-2</v>
      </c>
      <c r="AI27" s="149">
        <f t="shared" si="3"/>
        <v>-9.9473179784266286E-3</v>
      </c>
      <c r="AJ27" s="149">
        <f t="shared" si="3"/>
        <v>-1.2479691213964417E-2</v>
      </c>
    </row>
    <row r="28" spans="2:36" s="43" customFormat="1" ht="20.25" customHeight="1" x14ac:dyDescent="0.25">
      <c r="B28" s="282"/>
      <c r="C28" s="28" t="s">
        <v>5</v>
      </c>
      <c r="D28" s="44"/>
      <c r="E28" s="30">
        <f>E22+E27</f>
        <v>5770401</v>
      </c>
      <c r="F28" s="30">
        <f>F22+F27</f>
        <v>5915960</v>
      </c>
      <c r="G28" s="30">
        <f>G22+G27</f>
        <v>6072984</v>
      </c>
      <c r="H28" s="30">
        <f t="shared" ref="H28:S28" si="7">H22+H27</f>
        <v>6269002</v>
      </c>
      <c r="I28" s="30">
        <f t="shared" si="7"/>
        <v>6479984</v>
      </c>
      <c r="J28" s="30">
        <f t="shared" si="7"/>
        <v>6681830</v>
      </c>
      <c r="K28" s="30">
        <f t="shared" si="7"/>
        <v>6876568</v>
      </c>
      <c r="L28" s="30">
        <f t="shared" si="7"/>
        <v>7071156</v>
      </c>
      <c r="M28" s="30">
        <f t="shared" si="7"/>
        <v>7214694</v>
      </c>
      <c r="N28" s="30">
        <f t="shared" si="7"/>
        <v>7305717</v>
      </c>
      <c r="O28" s="30">
        <f t="shared" si="7"/>
        <v>7459062</v>
      </c>
      <c r="P28" s="30">
        <f t="shared" si="7"/>
        <v>7568777</v>
      </c>
      <c r="Q28" s="30">
        <f t="shared" si="7"/>
        <v>7669905</v>
      </c>
      <c r="R28" s="30">
        <f t="shared" si="7"/>
        <v>7769130</v>
      </c>
      <c r="S28" s="30">
        <f t="shared" si="7"/>
        <v>7840457</v>
      </c>
      <c r="T28" s="30">
        <f>T22+T27</f>
        <v>7980913</v>
      </c>
      <c r="U28" s="30">
        <f>U22+U27</f>
        <v>8109214</v>
      </c>
      <c r="W28" s="30">
        <v>8177796</v>
      </c>
      <c r="X28" s="30">
        <v>8212174</v>
      </c>
      <c r="Y28" s="30">
        <v>8306346</v>
      </c>
      <c r="Z28" s="30">
        <v>8410892</v>
      </c>
      <c r="AA28" s="30">
        <v>8528161</v>
      </c>
      <c r="AB28" s="30">
        <f>AB22+AB27</f>
        <v>8613726</v>
      </c>
      <c r="AC28" s="30">
        <f>AC22+AC27</f>
        <v>8719858</v>
      </c>
      <c r="AE28" s="150">
        <f t="shared" si="2"/>
        <v>4.2038221545266374E-3</v>
      </c>
      <c r="AF28" s="150">
        <f t="shared" si="3"/>
        <v>1.1467365401658602E-2</v>
      </c>
      <c r="AG28" s="150">
        <f t="shared" si="3"/>
        <v>1.258628041740617E-2</v>
      </c>
      <c r="AH28" s="150">
        <f t="shared" si="3"/>
        <v>1.3942516441775687E-2</v>
      </c>
      <c r="AI28" s="150">
        <f t="shared" si="3"/>
        <v>1.0033229907362218E-2</v>
      </c>
      <c r="AJ28" s="150">
        <f t="shared" si="3"/>
        <v>1.2321264920662767E-2</v>
      </c>
    </row>
    <row r="29" spans="2:36" s="12" customFormat="1" ht="12.75" customHeight="1" thickBot="1" x14ac:dyDescent="0.3">
      <c r="B29" s="282"/>
      <c r="C29" s="276" t="s">
        <v>13</v>
      </c>
      <c r="D29" s="276"/>
      <c r="E29" s="31"/>
      <c r="F29" s="31"/>
      <c r="G29" s="31"/>
      <c r="H29" s="31"/>
      <c r="I29" s="31"/>
      <c r="J29" s="31"/>
      <c r="K29" s="31"/>
      <c r="L29" s="31"/>
      <c r="M29" s="31"/>
      <c r="N29" s="31"/>
      <c r="AE29" s="151"/>
      <c r="AF29" s="151"/>
      <c r="AG29" s="151"/>
      <c r="AH29" s="151"/>
      <c r="AI29" s="151"/>
      <c r="AJ29" s="151"/>
    </row>
    <row r="30" spans="2:36" s="12" customFormat="1" ht="12.75" customHeight="1" thickBot="1" x14ac:dyDescent="0.3">
      <c r="B30" s="282"/>
      <c r="C30" s="6"/>
      <c r="D30" s="32" t="s">
        <v>7</v>
      </c>
      <c r="E30" s="33">
        <v>0</v>
      </c>
      <c r="F30" s="23">
        <v>15790</v>
      </c>
      <c r="G30" s="23">
        <v>34988</v>
      </c>
      <c r="H30" s="23">
        <v>58176</v>
      </c>
      <c r="I30" s="23">
        <v>84394</v>
      </c>
      <c r="J30" s="23">
        <v>113043</v>
      </c>
      <c r="K30" s="23">
        <v>120112</v>
      </c>
      <c r="L30" s="23">
        <v>130677</v>
      </c>
      <c r="M30" s="23">
        <v>141050</v>
      </c>
      <c r="N30" s="23">
        <v>164983</v>
      </c>
      <c r="O30" s="23">
        <v>210839</v>
      </c>
      <c r="P30" s="23">
        <v>260311</v>
      </c>
      <c r="Q30" s="23">
        <v>312966</v>
      </c>
      <c r="R30" s="23">
        <v>367029</v>
      </c>
      <c r="S30" s="23">
        <v>422858</v>
      </c>
      <c r="T30" s="23">
        <v>472722</v>
      </c>
      <c r="U30" s="35">
        <f>'[8]Retraités en paiement au 31-12'!$U$31</f>
        <v>515292</v>
      </c>
      <c r="W30" s="35">
        <v>518823</v>
      </c>
      <c r="X30" s="35">
        <v>561571</v>
      </c>
      <c r="Y30" s="35">
        <v>599388</v>
      </c>
      <c r="Z30" s="35">
        <v>635600</v>
      </c>
      <c r="AA30" s="35">
        <v>668988</v>
      </c>
      <c r="AB30" s="35">
        <f>[5]recto!$F$40</f>
        <v>701226</v>
      </c>
      <c r="AC30" s="35">
        <f>[18]recto!$F$40</f>
        <v>734245</v>
      </c>
      <c r="AE30" s="148">
        <f t="shared" si="2"/>
        <v>8.2394188384092404E-2</v>
      </c>
      <c r="AF30" s="148">
        <f t="shared" si="3"/>
        <v>6.7341440352154835E-2</v>
      </c>
      <c r="AG30" s="148">
        <f t="shared" si="3"/>
        <v>6.0414956589054158E-2</v>
      </c>
      <c r="AH30" s="148">
        <f t="shared" si="3"/>
        <v>5.2529893014474416E-2</v>
      </c>
      <c r="AI30" s="148">
        <f t="shared" si="3"/>
        <v>4.8189205187536999E-2</v>
      </c>
      <c r="AJ30" s="148">
        <f t="shared" si="3"/>
        <v>4.708752955537876E-2</v>
      </c>
    </row>
    <row r="31" spans="2:36" s="12" customFormat="1" ht="12.75" customHeight="1" thickBot="1" x14ac:dyDescent="0.3">
      <c r="B31" s="282"/>
      <c r="C31" s="6"/>
      <c r="D31" s="32" t="s">
        <v>8</v>
      </c>
      <c r="E31" s="33">
        <v>0</v>
      </c>
      <c r="F31" s="23">
        <v>66</v>
      </c>
      <c r="G31" s="23">
        <v>370</v>
      </c>
      <c r="H31" s="23">
        <v>685</v>
      </c>
      <c r="I31" s="23">
        <v>983</v>
      </c>
      <c r="J31" s="23">
        <v>1373</v>
      </c>
      <c r="K31" s="23">
        <v>1668</v>
      </c>
      <c r="L31" s="23">
        <v>2037</v>
      </c>
      <c r="M31" s="23">
        <v>2410</v>
      </c>
      <c r="N31" s="23">
        <v>3041</v>
      </c>
      <c r="O31" s="23">
        <v>3830</v>
      </c>
      <c r="P31" s="23">
        <v>4666</v>
      </c>
      <c r="Q31" s="23">
        <v>5648</v>
      </c>
      <c r="R31" s="23">
        <v>6621</v>
      </c>
      <c r="S31" s="23">
        <v>7640</v>
      </c>
      <c r="T31" s="23">
        <v>8568</v>
      </c>
      <c r="U31" s="35">
        <f>'[8]Retraités en paiement au 31-12'!$U$32+'[8]Retraités en paiement au 31-12'!$U$33</f>
        <v>9518</v>
      </c>
      <c r="W31" s="35">
        <v>9641</v>
      </c>
      <c r="X31" s="35">
        <v>10449</v>
      </c>
      <c r="Y31" s="35">
        <v>11167</v>
      </c>
      <c r="Z31" s="35">
        <v>11877</v>
      </c>
      <c r="AA31" s="35">
        <v>12709</v>
      </c>
      <c r="AB31" s="35">
        <f>[5]recto!$F$41</f>
        <v>13509</v>
      </c>
      <c r="AC31" s="35">
        <f>[18]recto!$F$41</f>
        <v>14294</v>
      </c>
      <c r="AE31" s="148">
        <f t="shared" si="2"/>
        <v>8.3808733533865754E-2</v>
      </c>
      <c r="AF31" s="148">
        <f t="shared" si="3"/>
        <v>6.8714709541582986E-2</v>
      </c>
      <c r="AG31" s="148">
        <f t="shared" si="3"/>
        <v>6.3580191636070538E-2</v>
      </c>
      <c r="AH31" s="148">
        <f t="shared" si="3"/>
        <v>7.0051359770985977E-2</v>
      </c>
      <c r="AI31" s="148">
        <f t="shared" si="3"/>
        <v>6.2947517507278228E-2</v>
      </c>
      <c r="AJ31" s="148">
        <f t="shared" si="3"/>
        <v>5.8109408542453167E-2</v>
      </c>
    </row>
    <row r="32" spans="2:36" s="12" customFormat="1" ht="12.75" customHeight="1" thickBot="1" x14ac:dyDescent="0.3">
      <c r="B32" s="282"/>
      <c r="C32" s="36"/>
      <c r="D32" s="32" t="s">
        <v>9</v>
      </c>
      <c r="E32" s="33">
        <v>0</v>
      </c>
      <c r="F32" s="33">
        <v>0</v>
      </c>
      <c r="G32" s="33">
        <v>0</v>
      </c>
      <c r="H32" s="33">
        <v>0</v>
      </c>
      <c r="I32" s="33">
        <v>0</v>
      </c>
      <c r="J32" s="33">
        <v>0</v>
      </c>
      <c r="K32" s="33">
        <v>0</v>
      </c>
      <c r="L32" s="33">
        <v>0</v>
      </c>
      <c r="M32" s="23">
        <v>381</v>
      </c>
      <c r="N32" s="23">
        <v>1356</v>
      </c>
      <c r="O32" s="23">
        <v>2371</v>
      </c>
      <c r="P32" s="23">
        <v>3461</v>
      </c>
      <c r="Q32" s="23">
        <v>4578</v>
      </c>
      <c r="R32" s="23">
        <v>5650</v>
      </c>
      <c r="S32" s="23">
        <v>6652</v>
      </c>
      <c r="T32" s="23">
        <v>7392</v>
      </c>
      <c r="U32" s="35">
        <f>'[8]Retraités en paiement au 31-12'!$U$34</f>
        <v>8002</v>
      </c>
      <c r="W32" s="35">
        <v>8002</v>
      </c>
      <c r="X32" s="35">
        <v>8465</v>
      </c>
      <c r="Y32" s="35">
        <v>8835</v>
      </c>
      <c r="Z32" s="35">
        <v>9123</v>
      </c>
      <c r="AA32" s="35">
        <v>9395</v>
      </c>
      <c r="AB32" s="35">
        <f>[5]recto!$F$42</f>
        <v>9603</v>
      </c>
      <c r="AC32" s="35">
        <f>[18]recto!$F$42</f>
        <v>9809</v>
      </c>
      <c r="AE32" s="148">
        <f t="shared" si="2"/>
        <v>5.7860534866283508E-2</v>
      </c>
      <c r="AF32" s="148">
        <f t="shared" si="3"/>
        <v>4.3709391612522186E-2</v>
      </c>
      <c r="AG32" s="148">
        <f t="shared" si="3"/>
        <v>3.259762308998293E-2</v>
      </c>
      <c r="AH32" s="148">
        <f t="shared" si="3"/>
        <v>2.9814753918667058E-2</v>
      </c>
      <c r="AI32" s="148">
        <f t="shared" si="3"/>
        <v>2.2139435870143664E-2</v>
      </c>
      <c r="AJ32" s="148">
        <f t="shared" si="3"/>
        <v>2.1451629699052344E-2</v>
      </c>
    </row>
    <row r="33" spans="2:36" s="12" customFormat="1" ht="12.75" customHeight="1" thickBot="1" x14ac:dyDescent="0.3">
      <c r="B33" s="282"/>
      <c r="C33" s="36"/>
      <c r="D33" s="22" t="s">
        <v>10</v>
      </c>
      <c r="E33" s="33">
        <v>0</v>
      </c>
      <c r="F33" s="33">
        <v>0</v>
      </c>
      <c r="G33" s="33">
        <v>0</v>
      </c>
      <c r="H33" s="33">
        <v>0</v>
      </c>
      <c r="I33" s="33">
        <v>0</v>
      </c>
      <c r="J33" s="33">
        <v>0</v>
      </c>
      <c r="K33" s="33">
        <v>0</v>
      </c>
      <c r="L33" s="33">
        <v>0</v>
      </c>
      <c r="M33" s="23">
        <v>221</v>
      </c>
      <c r="N33" s="23">
        <v>1212</v>
      </c>
      <c r="O33" s="23">
        <v>2385</v>
      </c>
      <c r="P33" s="23">
        <v>3603</v>
      </c>
      <c r="Q33" s="23">
        <v>4886</v>
      </c>
      <c r="R33" s="23">
        <v>6190</v>
      </c>
      <c r="S33" s="23">
        <v>7558</v>
      </c>
      <c r="T33" s="23">
        <v>8790</v>
      </c>
      <c r="U33" s="35">
        <f>'[8]Retraités en paiement au 31-12'!$U$35</f>
        <v>10005</v>
      </c>
      <c r="W33" s="35">
        <v>10005</v>
      </c>
      <c r="X33" s="35">
        <v>11141</v>
      </c>
      <c r="Y33" s="35">
        <v>12340</v>
      </c>
      <c r="Z33" s="35">
        <v>13818</v>
      </c>
      <c r="AA33" s="35">
        <v>15413</v>
      </c>
      <c r="AB33" s="35">
        <f>[5]recto!$F$43</f>
        <v>17110</v>
      </c>
      <c r="AC33" s="35">
        <f>[18]recto!$F$43</f>
        <v>19093</v>
      </c>
      <c r="AE33" s="148">
        <f t="shared" si="2"/>
        <v>0.1135432283858071</v>
      </c>
      <c r="AF33" s="148">
        <f t="shared" si="3"/>
        <v>0.10762050085270625</v>
      </c>
      <c r="AG33" s="148">
        <f t="shared" si="3"/>
        <v>0.11977309562398708</v>
      </c>
      <c r="AH33" s="148">
        <f t="shared" si="3"/>
        <v>0.11542915038355761</v>
      </c>
      <c r="AI33" s="148">
        <f t="shared" si="3"/>
        <v>0.11010186206449091</v>
      </c>
      <c r="AJ33" s="148">
        <f t="shared" si="3"/>
        <v>0.11589713617767394</v>
      </c>
    </row>
    <row r="34" spans="2:36" s="12" customFormat="1" ht="12.75" customHeight="1" thickBot="1" x14ac:dyDescent="0.3">
      <c r="B34" s="283"/>
      <c r="C34" s="38"/>
      <c r="D34" s="38"/>
      <c r="E34" s="39"/>
      <c r="F34" s="39"/>
      <c r="G34" s="39"/>
      <c r="H34" s="39"/>
      <c r="I34" s="39"/>
      <c r="J34" s="39"/>
      <c r="K34" s="39"/>
      <c r="L34" s="39"/>
      <c r="M34" s="39"/>
      <c r="N34" s="39"/>
      <c r="O34" s="38"/>
      <c r="P34" s="38"/>
      <c r="Q34" s="38"/>
      <c r="R34" s="38"/>
      <c r="S34" s="38"/>
      <c r="T34" s="38"/>
      <c r="U34" s="38"/>
      <c r="W34" s="38"/>
      <c r="X34" s="38"/>
      <c r="Y34" s="38"/>
      <c r="Z34" s="38"/>
      <c r="AA34" s="38"/>
      <c r="AB34" s="38"/>
      <c r="AC34" s="38"/>
      <c r="AE34" s="152"/>
      <c r="AF34" s="152"/>
      <c r="AG34" s="152"/>
      <c r="AH34" s="152"/>
      <c r="AI34" s="152"/>
      <c r="AJ34" s="152"/>
    </row>
    <row r="35" spans="2:36" s="12" customFormat="1" ht="17.25" customHeight="1" thickTop="1" thickBot="1" x14ac:dyDescent="0.3">
      <c r="B35" s="273" t="s">
        <v>14</v>
      </c>
      <c r="C35" s="40" t="s">
        <v>3</v>
      </c>
      <c r="D35" s="45"/>
      <c r="E35" s="27">
        <f t="shared" ref="E35:U38" si="8">E9+E22</f>
        <v>9592499</v>
      </c>
      <c r="F35" s="27">
        <f t="shared" si="8"/>
        <v>9920541</v>
      </c>
      <c r="G35" s="27">
        <f t="shared" si="8"/>
        <v>10210256</v>
      </c>
      <c r="H35" s="27">
        <f t="shared" si="8"/>
        <v>10578969</v>
      </c>
      <c r="I35" s="27">
        <f t="shared" si="8"/>
        <v>10976460</v>
      </c>
      <c r="J35" s="27">
        <f t="shared" si="8"/>
        <v>11363262</v>
      </c>
      <c r="K35" s="27">
        <f t="shared" si="8"/>
        <v>11678279</v>
      </c>
      <c r="L35" s="27">
        <f t="shared" si="8"/>
        <v>12016138</v>
      </c>
      <c r="M35" s="27">
        <f t="shared" si="8"/>
        <v>12239379</v>
      </c>
      <c r="N35" s="42">
        <f t="shared" si="8"/>
        <v>12378404</v>
      </c>
      <c r="O35" s="42">
        <f t="shared" si="8"/>
        <v>12654395</v>
      </c>
      <c r="P35" s="42">
        <f t="shared" si="8"/>
        <v>12861539</v>
      </c>
      <c r="Q35" s="42">
        <f t="shared" si="8"/>
        <v>13119759</v>
      </c>
      <c r="R35" s="42">
        <f t="shared" si="8"/>
        <v>13223756</v>
      </c>
      <c r="S35" s="42">
        <f t="shared" si="8"/>
        <v>13379741</v>
      </c>
      <c r="T35" s="42">
        <f t="shared" si="8"/>
        <v>13589252</v>
      </c>
      <c r="U35" s="42">
        <f t="shared" si="8"/>
        <v>13774559</v>
      </c>
      <c r="W35" s="42">
        <v>13939683</v>
      </c>
      <c r="X35" s="42">
        <v>14029797</v>
      </c>
      <c r="Y35" s="42">
        <v>14176173</v>
      </c>
      <c r="Z35" s="42">
        <v>14355777</v>
      </c>
      <c r="AA35" s="42">
        <v>14565670</v>
      </c>
      <c r="AB35" s="42">
        <f>AB9+AB22</f>
        <v>14708834</v>
      </c>
      <c r="AC35" s="42">
        <f>AC9+AC22</f>
        <v>14894844</v>
      </c>
      <c r="AE35" s="153">
        <f t="shared" si="2"/>
        <v>6.4645659445770054E-3</v>
      </c>
      <c r="AF35" s="153">
        <f t="shared" si="3"/>
        <v>1.0433222946846676E-2</v>
      </c>
      <c r="AG35" s="153">
        <f t="shared" si="3"/>
        <v>1.2669427778569053E-2</v>
      </c>
      <c r="AH35" s="153">
        <f t="shared" si="3"/>
        <v>1.46208038756801E-2</v>
      </c>
      <c r="AI35" s="153">
        <f t="shared" si="3"/>
        <v>9.8288647209501256E-3</v>
      </c>
      <c r="AJ35" s="153">
        <f t="shared" si="3"/>
        <v>1.2646141767593599E-2</v>
      </c>
    </row>
    <row r="36" spans="2:36" s="12" customFormat="1" ht="12.75" customHeight="1" thickBot="1" x14ac:dyDescent="0.3">
      <c r="B36" s="274"/>
      <c r="C36" s="19" t="s">
        <v>12</v>
      </c>
      <c r="D36" s="20" t="s">
        <v>16</v>
      </c>
      <c r="E36" s="23">
        <f t="shared" si="8"/>
        <v>7457630</v>
      </c>
      <c r="F36" s="23">
        <f t="shared" si="8"/>
        <v>7781673</v>
      </c>
      <c r="G36" s="23">
        <f t="shared" si="8"/>
        <v>8076439</v>
      </c>
      <c r="H36" s="23">
        <f t="shared" si="8"/>
        <v>8429650</v>
      </c>
      <c r="I36" s="23">
        <f t="shared" si="8"/>
        <v>8805469</v>
      </c>
      <c r="J36" s="23">
        <f t="shared" si="8"/>
        <v>9175002</v>
      </c>
      <c r="K36" s="23">
        <f t="shared" si="8"/>
        <v>9466372</v>
      </c>
      <c r="L36" s="23">
        <f t="shared" si="8"/>
        <v>9781234</v>
      </c>
      <c r="M36" s="23">
        <f t="shared" si="8"/>
        <v>10015971</v>
      </c>
      <c r="N36" s="23">
        <f t="shared" si="8"/>
        <v>10193993</v>
      </c>
      <c r="O36" s="23">
        <f t="shared" si="8"/>
        <v>10481856</v>
      </c>
      <c r="P36" s="23">
        <f t="shared" si="8"/>
        <v>10715020</v>
      </c>
      <c r="Q36" s="23">
        <f t="shared" si="8"/>
        <v>11005631</v>
      </c>
      <c r="R36" s="23">
        <f t="shared" si="8"/>
        <v>11131303</v>
      </c>
      <c r="S36" s="23">
        <f t="shared" si="8"/>
        <v>11299265</v>
      </c>
      <c r="T36" s="23">
        <f t="shared" si="8"/>
        <v>11508943</v>
      </c>
      <c r="U36" s="23">
        <f t="shared" si="8"/>
        <v>11689199</v>
      </c>
      <c r="W36" s="232" t="s">
        <v>89</v>
      </c>
      <c r="X36" s="232"/>
      <c r="Y36" s="35">
        <v>12062968</v>
      </c>
      <c r="Z36" s="35">
        <v>12240493</v>
      </c>
      <c r="AA36" s="35">
        <v>12433021</v>
      </c>
      <c r="AB36" s="35">
        <f t="shared" ref="AB36:AC46" si="9">AB10+AB23</f>
        <v>12559298</v>
      </c>
      <c r="AC36" s="35">
        <f t="shared" si="9"/>
        <v>12719479</v>
      </c>
      <c r="AE36" s="148"/>
      <c r="AF36" s="148"/>
      <c r="AG36" s="148">
        <f t="shared" si="3"/>
        <v>1.4716527474830432E-2</v>
      </c>
      <c r="AH36" s="148">
        <f t="shared" si="3"/>
        <v>1.5728778244471053E-2</v>
      </c>
      <c r="AI36" s="148">
        <f t="shared" si="3"/>
        <v>1.0156582217628385E-2</v>
      </c>
      <c r="AJ36" s="148">
        <f t="shared" si="3"/>
        <v>1.2753977172927922E-2</v>
      </c>
    </row>
    <row r="37" spans="2:36" s="12" customFormat="1" ht="12.75" customHeight="1" thickBot="1" x14ac:dyDescent="0.3">
      <c r="B37" s="274"/>
      <c r="C37" s="19"/>
      <c r="D37" s="22" t="s">
        <v>17</v>
      </c>
      <c r="E37" s="23">
        <f t="shared" si="8"/>
        <v>597604</v>
      </c>
      <c r="F37" s="23">
        <f t="shared" si="8"/>
        <v>604417</v>
      </c>
      <c r="G37" s="23">
        <f t="shared" si="8"/>
        <v>611220</v>
      </c>
      <c r="H37" s="23">
        <f t="shared" si="8"/>
        <v>627847</v>
      </c>
      <c r="I37" s="23">
        <f t="shared" si="8"/>
        <v>647424</v>
      </c>
      <c r="J37" s="23">
        <f t="shared" si="8"/>
        <v>666506</v>
      </c>
      <c r="K37" s="23">
        <f t="shared" si="8"/>
        <v>687368</v>
      </c>
      <c r="L37" s="23">
        <f t="shared" si="8"/>
        <v>708496</v>
      </c>
      <c r="M37" s="23">
        <f t="shared" si="8"/>
        <v>713189</v>
      </c>
      <c r="N37" s="23">
        <f t="shared" si="8"/>
        <v>710301</v>
      </c>
      <c r="O37" s="23">
        <f t="shared" si="8"/>
        <v>723309</v>
      </c>
      <c r="P37" s="23">
        <f t="shared" si="8"/>
        <v>731161</v>
      </c>
      <c r="Q37" s="23">
        <f t="shared" si="8"/>
        <v>732253</v>
      </c>
      <c r="R37" s="23">
        <f t="shared" si="8"/>
        <v>738489</v>
      </c>
      <c r="S37" s="23">
        <f t="shared" si="8"/>
        <v>754743</v>
      </c>
      <c r="T37" s="23">
        <f t="shared" si="8"/>
        <v>776561</v>
      </c>
      <c r="U37" s="23">
        <f t="shared" si="8"/>
        <v>798569</v>
      </c>
      <c r="W37" s="233"/>
      <c r="X37" s="233"/>
      <c r="Y37" s="35">
        <v>857672</v>
      </c>
      <c r="Z37" s="35">
        <v>875631</v>
      </c>
      <c r="AA37" s="35">
        <v>900335</v>
      </c>
      <c r="AB37" s="35">
        <f t="shared" si="9"/>
        <v>925135</v>
      </c>
      <c r="AC37" s="35">
        <f t="shared" si="9"/>
        <v>951722</v>
      </c>
      <c r="AE37" s="148"/>
      <c r="AF37" s="148"/>
      <c r="AG37" s="148">
        <f t="shared" si="3"/>
        <v>2.0939240175731566E-2</v>
      </c>
      <c r="AH37" s="148">
        <f t="shared" si="3"/>
        <v>2.8212797399817857E-2</v>
      </c>
      <c r="AI37" s="148">
        <f t="shared" si="3"/>
        <v>2.7545302581816866E-2</v>
      </c>
      <c r="AJ37" s="148">
        <f t="shared" si="3"/>
        <v>2.8738508433904242E-2</v>
      </c>
    </row>
    <row r="38" spans="2:36" s="12" customFormat="1" ht="12.75" customHeight="1" thickBot="1" x14ac:dyDescent="0.3">
      <c r="B38" s="274"/>
      <c r="C38" s="19"/>
      <c r="D38" s="22" t="s">
        <v>18</v>
      </c>
      <c r="E38" s="23">
        <f t="shared" si="8"/>
        <v>1532780</v>
      </c>
      <c r="F38" s="23">
        <f t="shared" si="8"/>
        <v>1530554</v>
      </c>
      <c r="G38" s="23">
        <f t="shared" si="8"/>
        <v>1519192</v>
      </c>
      <c r="H38" s="23">
        <f t="shared" si="8"/>
        <v>1518402</v>
      </c>
      <c r="I38" s="23">
        <f t="shared" si="8"/>
        <v>1520898</v>
      </c>
      <c r="J38" s="23">
        <f t="shared" si="8"/>
        <v>1520455</v>
      </c>
      <c r="K38" s="23">
        <f t="shared" si="8"/>
        <v>1522434</v>
      </c>
      <c r="L38" s="23">
        <f t="shared" si="8"/>
        <v>1524573</v>
      </c>
      <c r="M38" s="23">
        <f t="shared" si="8"/>
        <v>1508632</v>
      </c>
      <c r="N38" s="23">
        <f t="shared" si="8"/>
        <v>1472745</v>
      </c>
      <c r="O38" s="23">
        <f t="shared" si="8"/>
        <v>1448028</v>
      </c>
      <c r="P38" s="23">
        <f t="shared" si="8"/>
        <v>1414343</v>
      </c>
      <c r="Q38" s="23">
        <f t="shared" si="8"/>
        <v>1381009</v>
      </c>
      <c r="R38" s="23">
        <f t="shared" si="8"/>
        <v>1353212</v>
      </c>
      <c r="S38" s="23">
        <f t="shared" si="8"/>
        <v>1325093</v>
      </c>
      <c r="T38" s="23">
        <f t="shared" si="8"/>
        <v>1303197</v>
      </c>
      <c r="U38" s="23">
        <f t="shared" si="8"/>
        <v>1286305</v>
      </c>
      <c r="W38" s="233"/>
      <c r="X38" s="233"/>
      <c r="Y38" s="35">
        <v>1255148</v>
      </c>
      <c r="Z38" s="35">
        <v>1239340</v>
      </c>
      <c r="AA38" s="35">
        <v>1232045</v>
      </c>
      <c r="AB38" s="35">
        <f t="shared" si="9"/>
        <v>1224172</v>
      </c>
      <c r="AC38" s="35">
        <f t="shared" si="9"/>
        <v>1223448</v>
      </c>
      <c r="AE38" s="148"/>
      <c r="AF38" s="148"/>
      <c r="AG38" s="148">
        <f t="shared" si="3"/>
        <v>-1.2594530684827632E-2</v>
      </c>
      <c r="AH38" s="148">
        <f t="shared" si="3"/>
        <v>-5.8861974922136406E-3</v>
      </c>
      <c r="AI38" s="148">
        <f t="shared" si="3"/>
        <v>-6.3901886700566957E-3</v>
      </c>
      <c r="AJ38" s="148">
        <f t="shared" si="3"/>
        <v>-5.9142015991220376E-4</v>
      </c>
    </row>
    <row r="39" spans="2:36" s="12" customFormat="1" ht="12.75" customHeight="1" thickBot="1" x14ac:dyDescent="0.3">
      <c r="B39" s="274"/>
      <c r="C39" s="24"/>
      <c r="D39" s="22" t="s">
        <v>19</v>
      </c>
      <c r="E39" s="23">
        <f>SUM(E36:E38)</f>
        <v>9588014</v>
      </c>
      <c r="F39" s="23">
        <f>SUM(F36:F38)</f>
        <v>9916644</v>
      </c>
      <c r="G39" s="23">
        <f>SUM(G36:G38)</f>
        <v>10206851</v>
      </c>
      <c r="H39" s="23">
        <f t="shared" ref="H39:S39" si="10">SUM(H36:H38)</f>
        <v>10575899</v>
      </c>
      <c r="I39" s="23">
        <f t="shared" si="10"/>
        <v>10973791</v>
      </c>
      <c r="J39" s="23">
        <f t="shared" si="10"/>
        <v>11361963</v>
      </c>
      <c r="K39" s="23">
        <f t="shared" si="10"/>
        <v>11676174</v>
      </c>
      <c r="L39" s="23">
        <f t="shared" si="10"/>
        <v>12014303</v>
      </c>
      <c r="M39" s="23">
        <f t="shared" si="10"/>
        <v>12237792</v>
      </c>
      <c r="N39" s="23">
        <f t="shared" si="10"/>
        <v>12377039</v>
      </c>
      <c r="O39" s="23">
        <f t="shared" si="10"/>
        <v>12653193</v>
      </c>
      <c r="P39" s="23">
        <f t="shared" si="10"/>
        <v>12860524</v>
      </c>
      <c r="Q39" s="23">
        <f t="shared" si="10"/>
        <v>13118893</v>
      </c>
      <c r="R39" s="23">
        <f t="shared" si="10"/>
        <v>13223004</v>
      </c>
      <c r="S39" s="23">
        <f t="shared" si="10"/>
        <v>13379101</v>
      </c>
      <c r="T39" s="23">
        <f>SUM(T36:T38)</f>
        <v>13588701</v>
      </c>
      <c r="U39" s="23">
        <f>SUM(U36:U38)</f>
        <v>13774073</v>
      </c>
      <c r="W39" s="234"/>
      <c r="X39" s="234"/>
      <c r="Y39" s="35">
        <v>14175788</v>
      </c>
      <c r="Z39" s="35">
        <v>14355464</v>
      </c>
      <c r="AA39" s="35">
        <v>14565401</v>
      </c>
      <c r="AB39" s="35">
        <f t="shared" si="9"/>
        <v>14708605</v>
      </c>
      <c r="AC39" s="35">
        <f t="shared" si="9"/>
        <v>14894649</v>
      </c>
      <c r="AE39" s="148"/>
      <c r="AF39" s="148"/>
      <c r="AG39" s="148">
        <f t="shared" si="3"/>
        <v>1.2674850950084693E-2</v>
      </c>
      <c r="AH39" s="148">
        <f t="shared" si="3"/>
        <v>1.4624187696057778E-2</v>
      </c>
      <c r="AI39" s="148">
        <f t="shared" si="3"/>
        <v>9.8317924786279765E-3</v>
      </c>
      <c r="AJ39" s="148">
        <f t="shared" si="3"/>
        <v>1.2648650228896718E-2</v>
      </c>
    </row>
    <row r="40" spans="2:36" s="12" customFormat="1" ht="17.25" customHeight="1" x14ac:dyDescent="0.25">
      <c r="B40" s="274"/>
      <c r="C40" s="26" t="s">
        <v>111</v>
      </c>
      <c r="D40" s="26"/>
      <c r="E40" s="27">
        <f t="shared" ref="E40:U40" si="11">E14+E27</f>
        <v>818490</v>
      </c>
      <c r="F40" s="27">
        <f t="shared" si="11"/>
        <v>826863</v>
      </c>
      <c r="G40" s="27">
        <f t="shared" si="11"/>
        <v>851922</v>
      </c>
      <c r="H40" s="27">
        <f t="shared" si="11"/>
        <v>869700</v>
      </c>
      <c r="I40" s="27">
        <f t="shared" si="11"/>
        <v>876392</v>
      </c>
      <c r="J40" s="27">
        <f t="shared" si="11"/>
        <v>877009</v>
      </c>
      <c r="K40" s="27">
        <f t="shared" si="11"/>
        <v>876242</v>
      </c>
      <c r="L40" s="27">
        <f t="shared" si="11"/>
        <v>868698</v>
      </c>
      <c r="M40" s="27">
        <f t="shared" si="11"/>
        <v>862690</v>
      </c>
      <c r="N40" s="27">
        <f t="shared" si="11"/>
        <v>856670</v>
      </c>
      <c r="O40" s="27">
        <f t="shared" si="11"/>
        <v>844686</v>
      </c>
      <c r="P40" s="27">
        <f t="shared" si="11"/>
        <v>825201</v>
      </c>
      <c r="Q40" s="27">
        <f t="shared" si="11"/>
        <v>813776</v>
      </c>
      <c r="R40" s="27">
        <f t="shared" si="11"/>
        <v>800882</v>
      </c>
      <c r="S40" s="27">
        <f t="shared" si="11"/>
        <v>759793</v>
      </c>
      <c r="T40" s="27">
        <f t="shared" si="11"/>
        <v>763168</v>
      </c>
      <c r="U40" s="27">
        <f t="shared" si="11"/>
        <v>767183</v>
      </c>
      <c r="W40" s="27">
        <v>771154</v>
      </c>
      <c r="X40" s="27">
        <v>720891</v>
      </c>
      <c r="Y40" s="27">
        <v>708385</v>
      </c>
      <c r="Z40" s="27">
        <v>693394</v>
      </c>
      <c r="AA40" s="27">
        <v>686269</v>
      </c>
      <c r="AB40" s="27">
        <f>AB14+AB27</f>
        <v>680185</v>
      </c>
      <c r="AC40" s="27">
        <f>AC14+AC27</f>
        <v>672606</v>
      </c>
      <c r="AE40" s="149">
        <f t="shared" si="2"/>
        <v>-6.5178939615174181E-2</v>
      </c>
      <c r="AF40" s="149">
        <f t="shared" si="3"/>
        <v>-1.7347976323743852E-2</v>
      </c>
      <c r="AG40" s="149">
        <f t="shared" si="3"/>
        <v>-2.1162221108578017E-2</v>
      </c>
      <c r="AH40" s="149">
        <f t="shared" si="3"/>
        <v>-1.0275543197662551E-2</v>
      </c>
      <c r="AI40" s="149">
        <f t="shared" si="3"/>
        <v>-8.8653283187788423E-3</v>
      </c>
      <c r="AJ40" s="149">
        <f t="shared" si="3"/>
        <v>-1.1142556804398795E-2</v>
      </c>
    </row>
    <row r="41" spans="2:36" s="43" customFormat="1" ht="20.25" customHeight="1" x14ac:dyDescent="0.25">
      <c r="B41" s="274"/>
      <c r="C41" s="28" t="s">
        <v>5</v>
      </c>
      <c r="D41" s="44"/>
      <c r="E41" s="30">
        <f>E35+E40</f>
        <v>10410989</v>
      </c>
      <c r="F41" s="30">
        <f>F35+F40</f>
        <v>10747404</v>
      </c>
      <c r="G41" s="30">
        <f>G35+G40</f>
        <v>11062178</v>
      </c>
      <c r="H41" s="30">
        <f t="shared" ref="H41:S41" si="12">H35+H40</f>
        <v>11448669</v>
      </c>
      <c r="I41" s="30">
        <f t="shared" si="12"/>
        <v>11852852</v>
      </c>
      <c r="J41" s="30">
        <f t="shared" si="12"/>
        <v>12240271</v>
      </c>
      <c r="K41" s="30">
        <f t="shared" si="12"/>
        <v>12554521</v>
      </c>
      <c r="L41" s="30">
        <f t="shared" si="12"/>
        <v>12884836</v>
      </c>
      <c r="M41" s="30">
        <f t="shared" si="12"/>
        <v>13102069</v>
      </c>
      <c r="N41" s="30">
        <f t="shared" si="12"/>
        <v>13235074</v>
      </c>
      <c r="O41" s="30">
        <f t="shared" si="12"/>
        <v>13499081</v>
      </c>
      <c r="P41" s="30">
        <f t="shared" si="12"/>
        <v>13686740</v>
      </c>
      <c r="Q41" s="30">
        <f t="shared" si="12"/>
        <v>13933535</v>
      </c>
      <c r="R41" s="30">
        <f t="shared" si="12"/>
        <v>14024638</v>
      </c>
      <c r="S41" s="30">
        <f t="shared" si="12"/>
        <v>14139534</v>
      </c>
      <c r="T41" s="30">
        <f>T35+T40</f>
        <v>14352420</v>
      </c>
      <c r="U41" s="30">
        <f>U35+U40</f>
        <v>14541742</v>
      </c>
      <c r="W41" s="30">
        <v>14710837</v>
      </c>
      <c r="X41" s="30">
        <v>14750688</v>
      </c>
      <c r="Y41" s="30">
        <v>14884558</v>
      </c>
      <c r="Z41" s="30">
        <v>15049171</v>
      </c>
      <c r="AA41" s="30">
        <v>15251939</v>
      </c>
      <c r="AB41" s="30">
        <f>AB15+AB28</f>
        <v>15389019</v>
      </c>
      <c r="AC41" s="30">
        <f>AC15+AC28</f>
        <v>15567450</v>
      </c>
      <c r="AE41" s="150">
        <f t="shared" si="2"/>
        <v>2.7089553096129038E-3</v>
      </c>
      <c r="AF41" s="150">
        <f t="shared" si="3"/>
        <v>9.0755088847380705E-3</v>
      </c>
      <c r="AG41" s="150">
        <f t="shared" si="3"/>
        <v>1.1059313954771222E-2</v>
      </c>
      <c r="AH41" s="150">
        <f t="shared" si="3"/>
        <v>1.3473698983153204E-2</v>
      </c>
      <c r="AI41" s="150">
        <f t="shared" si="3"/>
        <v>8.9877096938297818E-3</v>
      </c>
      <c r="AJ41" s="150">
        <f t="shared" si="3"/>
        <v>1.1594696192135379E-2</v>
      </c>
    </row>
    <row r="42" spans="2:36" s="12" customFormat="1" ht="12.75" customHeight="1" thickBot="1" x14ac:dyDescent="0.3">
      <c r="B42" s="274"/>
      <c r="C42" s="276" t="s">
        <v>6</v>
      </c>
      <c r="D42" s="276"/>
      <c r="E42" s="31"/>
      <c r="F42" s="31"/>
      <c r="G42" s="31"/>
      <c r="H42" s="31"/>
      <c r="I42" s="31"/>
      <c r="J42" s="31"/>
      <c r="K42" s="31"/>
      <c r="L42" s="31"/>
      <c r="M42" s="31"/>
      <c r="N42" s="31"/>
      <c r="O42" s="31"/>
      <c r="P42" s="31"/>
      <c r="Q42" s="31"/>
      <c r="R42" s="31"/>
      <c r="S42" s="31"/>
      <c r="T42" s="31"/>
      <c r="U42" s="31"/>
      <c r="W42" s="31"/>
      <c r="X42" s="31"/>
      <c r="Y42" s="31"/>
      <c r="Z42" s="31"/>
      <c r="AA42" s="31"/>
      <c r="AB42" s="31"/>
      <c r="AC42" s="31"/>
      <c r="AE42" s="151"/>
      <c r="AF42" s="151"/>
      <c r="AG42" s="151"/>
      <c r="AH42" s="151"/>
      <c r="AI42" s="151"/>
      <c r="AJ42" s="151"/>
    </row>
    <row r="43" spans="2:36" s="12" customFormat="1" ht="12.75" customHeight="1" thickBot="1" x14ac:dyDescent="0.3">
      <c r="B43" s="274"/>
      <c r="C43" s="6"/>
      <c r="D43" s="32" t="s">
        <v>7</v>
      </c>
      <c r="E43" s="33">
        <v>0</v>
      </c>
      <c r="F43" s="23">
        <f t="shared" ref="F43:U46" si="13">F17+F30</f>
        <v>109143</v>
      </c>
      <c r="G43" s="23">
        <f t="shared" si="13"/>
        <v>211324</v>
      </c>
      <c r="H43" s="23">
        <f t="shared" si="13"/>
        <v>318013</v>
      </c>
      <c r="I43" s="23">
        <f t="shared" si="13"/>
        <v>430839</v>
      </c>
      <c r="J43" s="23">
        <f t="shared" si="13"/>
        <v>549554</v>
      </c>
      <c r="K43" s="23">
        <f t="shared" si="13"/>
        <v>572480</v>
      </c>
      <c r="L43" s="23">
        <f t="shared" si="13"/>
        <v>611310</v>
      </c>
      <c r="M43" s="23">
        <f t="shared" si="13"/>
        <v>644942</v>
      </c>
      <c r="N43" s="23">
        <f t="shared" si="13"/>
        <v>718572</v>
      </c>
      <c r="O43" s="23">
        <f t="shared" si="13"/>
        <v>856702</v>
      </c>
      <c r="P43" s="23">
        <f t="shared" si="13"/>
        <v>1001824</v>
      </c>
      <c r="Q43" s="23">
        <f t="shared" si="13"/>
        <v>1151638</v>
      </c>
      <c r="R43" s="23">
        <f t="shared" si="13"/>
        <v>1304535</v>
      </c>
      <c r="S43" s="23">
        <f t="shared" si="13"/>
        <v>1460929</v>
      </c>
      <c r="T43" s="23">
        <f t="shared" si="13"/>
        <v>1595758</v>
      </c>
      <c r="U43" s="23">
        <f t="shared" si="13"/>
        <v>1712054</v>
      </c>
      <c r="W43" s="23">
        <v>1740629</v>
      </c>
      <c r="X43" s="23">
        <v>1863125</v>
      </c>
      <c r="Y43" s="23">
        <v>1972691</v>
      </c>
      <c r="Z43" s="23">
        <v>2080073</v>
      </c>
      <c r="AA43" s="23">
        <v>2180771</v>
      </c>
      <c r="AB43" s="23">
        <f t="shared" si="9"/>
        <v>2269663</v>
      </c>
      <c r="AC43" s="23">
        <f t="shared" si="9"/>
        <v>2361896</v>
      </c>
      <c r="AE43" s="154">
        <f t="shared" si="2"/>
        <v>7.0374560001011055E-2</v>
      </c>
      <c r="AF43" s="154">
        <f t="shared" si="3"/>
        <v>5.8807648440120763E-2</v>
      </c>
      <c r="AG43" s="154">
        <f t="shared" si="3"/>
        <v>5.4434272777642345E-2</v>
      </c>
      <c r="AH43" s="154">
        <f t="shared" si="3"/>
        <v>4.8410800967081391E-2</v>
      </c>
      <c r="AI43" s="154">
        <f t="shared" si="3"/>
        <v>4.076173059894872E-2</v>
      </c>
      <c r="AJ43" s="154">
        <f t="shared" si="3"/>
        <v>4.0637310472964483E-2</v>
      </c>
    </row>
    <row r="44" spans="2:36" s="12" customFormat="1" ht="12.75" customHeight="1" thickBot="1" x14ac:dyDescent="0.3">
      <c r="B44" s="274"/>
      <c r="C44" s="6"/>
      <c r="D44" s="32" t="s">
        <v>8</v>
      </c>
      <c r="E44" s="33">
        <v>0</v>
      </c>
      <c r="F44" s="23">
        <f t="shared" si="13"/>
        <v>246</v>
      </c>
      <c r="G44" s="23">
        <f t="shared" si="13"/>
        <v>1388</v>
      </c>
      <c r="H44" s="23">
        <f t="shared" si="13"/>
        <v>2441</v>
      </c>
      <c r="I44" s="23">
        <f t="shared" si="13"/>
        <v>3485</v>
      </c>
      <c r="J44" s="23">
        <f t="shared" si="13"/>
        <v>4718</v>
      </c>
      <c r="K44" s="23">
        <f t="shared" si="13"/>
        <v>5566</v>
      </c>
      <c r="L44" s="23">
        <f t="shared" si="13"/>
        <v>6676</v>
      </c>
      <c r="M44" s="23">
        <f t="shared" si="13"/>
        <v>7816</v>
      </c>
      <c r="N44" s="23">
        <f t="shared" si="13"/>
        <v>9643</v>
      </c>
      <c r="O44" s="23">
        <f t="shared" si="13"/>
        <v>11851</v>
      </c>
      <c r="P44" s="23">
        <f t="shared" si="13"/>
        <v>14091</v>
      </c>
      <c r="Q44" s="23">
        <f t="shared" si="13"/>
        <v>16648</v>
      </c>
      <c r="R44" s="23">
        <f t="shared" si="13"/>
        <v>19273</v>
      </c>
      <c r="S44" s="23">
        <f t="shared" si="13"/>
        <v>21852</v>
      </c>
      <c r="T44" s="23">
        <f t="shared" si="13"/>
        <v>24284</v>
      </c>
      <c r="U44" s="23">
        <f t="shared" si="13"/>
        <v>26673</v>
      </c>
      <c r="W44" s="23">
        <v>27628</v>
      </c>
      <c r="X44" s="23">
        <v>29649</v>
      </c>
      <c r="Y44" s="23">
        <v>31561</v>
      </c>
      <c r="Z44" s="23">
        <v>33301</v>
      </c>
      <c r="AA44" s="23">
        <v>35260</v>
      </c>
      <c r="AB44" s="23">
        <f t="shared" si="9"/>
        <v>37385</v>
      </c>
      <c r="AC44" s="23">
        <f t="shared" si="9"/>
        <v>39500</v>
      </c>
      <c r="AE44" s="154">
        <f t="shared" si="2"/>
        <v>7.3150427102939064E-2</v>
      </c>
      <c r="AF44" s="154">
        <f t="shared" si="3"/>
        <v>6.4487841073898045E-2</v>
      </c>
      <c r="AG44" s="154">
        <f t="shared" si="3"/>
        <v>5.5131332974240443E-2</v>
      </c>
      <c r="AH44" s="154">
        <f t="shared" si="3"/>
        <v>5.8827062250382811E-2</v>
      </c>
      <c r="AI44" s="154">
        <f t="shared" si="3"/>
        <v>6.0266591038003359E-2</v>
      </c>
      <c r="AJ44" s="154">
        <f t="shared" si="3"/>
        <v>5.6573492042262918E-2</v>
      </c>
    </row>
    <row r="45" spans="2:36" s="12" customFormat="1" ht="12.75" customHeight="1" thickBot="1" x14ac:dyDescent="0.3">
      <c r="B45" s="274"/>
      <c r="C45" s="36"/>
      <c r="D45" s="32" t="s">
        <v>9</v>
      </c>
      <c r="E45" s="33">
        <v>0</v>
      </c>
      <c r="F45" s="33">
        <v>0</v>
      </c>
      <c r="G45" s="33">
        <v>0</v>
      </c>
      <c r="H45" s="33">
        <v>0</v>
      </c>
      <c r="I45" s="33">
        <v>0</v>
      </c>
      <c r="J45" s="33">
        <v>0</v>
      </c>
      <c r="K45" s="33">
        <v>0</v>
      </c>
      <c r="L45" s="33">
        <v>0</v>
      </c>
      <c r="M45" s="23">
        <f t="shared" si="13"/>
        <v>2112</v>
      </c>
      <c r="N45" s="23">
        <f t="shared" si="13"/>
        <v>7511</v>
      </c>
      <c r="O45" s="23">
        <f t="shared" si="13"/>
        <v>13097</v>
      </c>
      <c r="P45" s="23">
        <f t="shared" si="13"/>
        <v>18881</v>
      </c>
      <c r="Q45" s="23">
        <f t="shared" si="13"/>
        <v>24529</v>
      </c>
      <c r="R45" s="23">
        <f t="shared" si="13"/>
        <v>29667</v>
      </c>
      <c r="S45" s="23">
        <f t="shared" si="13"/>
        <v>34498</v>
      </c>
      <c r="T45" s="23">
        <f t="shared" si="13"/>
        <v>38367</v>
      </c>
      <c r="U45" s="23">
        <f t="shared" si="13"/>
        <v>41957</v>
      </c>
      <c r="W45" s="23">
        <v>41957</v>
      </c>
      <c r="X45" s="23">
        <v>44869</v>
      </c>
      <c r="Y45" s="23">
        <v>47311</v>
      </c>
      <c r="Z45" s="23">
        <v>49240</v>
      </c>
      <c r="AA45" s="23">
        <v>50758</v>
      </c>
      <c r="AB45" s="23">
        <f t="shared" si="9"/>
        <v>52041</v>
      </c>
      <c r="AC45" s="23">
        <f t="shared" si="9"/>
        <v>53128</v>
      </c>
      <c r="AE45" s="154">
        <f t="shared" si="2"/>
        <v>6.9404390209023559E-2</v>
      </c>
      <c r="AF45" s="154">
        <f t="shared" si="3"/>
        <v>5.4425104192203921E-2</v>
      </c>
      <c r="AG45" s="154">
        <f t="shared" si="3"/>
        <v>4.0772758977827506E-2</v>
      </c>
      <c r="AH45" s="154">
        <f t="shared" si="3"/>
        <v>3.082859463850518E-2</v>
      </c>
      <c r="AI45" s="154">
        <f t="shared" si="3"/>
        <v>2.5276803656566482E-2</v>
      </c>
      <c r="AJ45" s="154">
        <f t="shared" si="3"/>
        <v>2.088737726023715E-2</v>
      </c>
    </row>
    <row r="46" spans="2:36" s="12" customFormat="1" ht="12.75" customHeight="1" thickBot="1" x14ac:dyDescent="0.3">
      <c r="B46" s="274"/>
      <c r="C46" s="36"/>
      <c r="D46" s="22" t="s">
        <v>10</v>
      </c>
      <c r="E46" s="33">
        <v>0</v>
      </c>
      <c r="F46" s="33">
        <v>0</v>
      </c>
      <c r="G46" s="33">
        <v>0</v>
      </c>
      <c r="H46" s="33">
        <v>0</v>
      </c>
      <c r="I46" s="33">
        <v>0</v>
      </c>
      <c r="J46" s="33">
        <v>0</v>
      </c>
      <c r="K46" s="33">
        <v>0</v>
      </c>
      <c r="L46" s="33">
        <v>0</v>
      </c>
      <c r="M46" s="23">
        <f t="shared" si="13"/>
        <v>779</v>
      </c>
      <c r="N46" s="23">
        <f t="shared" si="13"/>
        <v>3864</v>
      </c>
      <c r="O46" s="23">
        <f t="shared" si="13"/>
        <v>7291</v>
      </c>
      <c r="P46" s="23">
        <f t="shared" si="13"/>
        <v>10558</v>
      </c>
      <c r="Q46" s="23">
        <f t="shared" si="13"/>
        <v>13991</v>
      </c>
      <c r="R46" s="23">
        <f t="shared" si="13"/>
        <v>17362</v>
      </c>
      <c r="S46" s="23">
        <f t="shared" si="13"/>
        <v>20769</v>
      </c>
      <c r="T46" s="23">
        <f t="shared" si="13"/>
        <v>23806</v>
      </c>
      <c r="U46" s="23">
        <f t="shared" si="13"/>
        <v>26788</v>
      </c>
      <c r="W46" s="23">
        <v>26788</v>
      </c>
      <c r="X46" s="23">
        <v>29523</v>
      </c>
      <c r="Y46" s="23">
        <v>32382</v>
      </c>
      <c r="Z46" s="23">
        <v>35939</v>
      </c>
      <c r="AA46" s="23">
        <v>40136</v>
      </c>
      <c r="AB46" s="23">
        <f t="shared" si="9"/>
        <v>44339</v>
      </c>
      <c r="AC46" s="23">
        <f t="shared" si="9"/>
        <v>49489</v>
      </c>
      <c r="AE46" s="154">
        <f>X46/W46-1</f>
        <v>0.10209795430789903</v>
      </c>
      <c r="AF46" s="154">
        <f t="shared" si="3"/>
        <v>9.6839752057717776E-2</v>
      </c>
      <c r="AG46" s="154">
        <f t="shared" si="3"/>
        <v>0.10984497560373052</v>
      </c>
      <c r="AH46" s="154">
        <f t="shared" si="3"/>
        <v>0.11678121261025631</v>
      </c>
      <c r="AI46" s="154">
        <f t="shared" si="3"/>
        <v>0.10471895555112609</v>
      </c>
      <c r="AJ46" s="154">
        <f t="shared" si="3"/>
        <v>0.11615056722073125</v>
      </c>
    </row>
    <row r="47" spans="2:36" ht="1.5" customHeight="1" thickBot="1" x14ac:dyDescent="0.25">
      <c r="B47" s="275"/>
      <c r="C47" s="46"/>
      <c r="D47" s="46"/>
      <c r="E47" s="46"/>
      <c r="F47" s="46"/>
      <c r="G47" s="46"/>
      <c r="H47" s="46"/>
      <c r="I47" s="46"/>
      <c r="J47" s="46"/>
      <c r="K47" s="46"/>
      <c r="L47" s="46"/>
      <c r="M47" s="46"/>
      <c r="N47" s="46"/>
      <c r="O47" s="46"/>
      <c r="P47" s="46"/>
      <c r="Q47" s="46"/>
      <c r="R47" s="46"/>
      <c r="S47" s="46"/>
      <c r="T47" s="46"/>
      <c r="U47" s="46"/>
      <c r="W47" s="46"/>
      <c r="X47" s="46"/>
      <c r="Y47" s="46"/>
      <c r="Z47" s="46"/>
      <c r="AA47" s="46"/>
      <c r="AB47" s="46"/>
      <c r="AC47" s="46"/>
      <c r="AE47" s="46"/>
      <c r="AF47" s="46"/>
      <c r="AG47" s="46"/>
      <c r="AH47" s="46"/>
      <c r="AI47" s="46"/>
      <c r="AJ47" s="46"/>
    </row>
    <row r="48" spans="2:36" ht="15" thickTop="1" x14ac:dyDescent="0.2">
      <c r="C48" s="155" t="s">
        <v>85</v>
      </c>
      <c r="D48" s="156"/>
      <c r="E48" s="156"/>
      <c r="F48" s="156"/>
      <c r="G48" s="156"/>
      <c r="H48" s="156"/>
      <c r="I48" s="156"/>
      <c r="J48" s="156"/>
      <c r="K48" s="156"/>
      <c r="L48" s="156"/>
      <c r="M48" s="156"/>
    </row>
    <row r="49" spans="2:14" ht="15" customHeight="1" x14ac:dyDescent="0.2">
      <c r="C49" s="155" t="s">
        <v>117</v>
      </c>
      <c r="D49" s="156"/>
      <c r="E49" s="156"/>
      <c r="F49" s="156"/>
      <c r="G49" s="156"/>
      <c r="H49" s="156"/>
      <c r="I49" s="156"/>
      <c r="J49" s="156"/>
      <c r="K49" s="156"/>
      <c r="L49" s="156"/>
      <c r="M49" s="156"/>
    </row>
    <row r="50" spans="2:14" x14ac:dyDescent="0.2">
      <c r="C50" s="47" t="s">
        <v>107</v>
      </c>
      <c r="D50" s="156"/>
      <c r="E50" s="156"/>
      <c r="F50" s="156"/>
      <c r="G50" s="156"/>
      <c r="H50" s="156"/>
      <c r="I50" s="156"/>
      <c r="J50" s="156"/>
      <c r="K50" s="156"/>
      <c r="L50" s="156"/>
      <c r="M50" s="156"/>
    </row>
    <row r="51" spans="2:14" x14ac:dyDescent="0.2">
      <c r="C51" s="155" t="s">
        <v>15</v>
      </c>
      <c r="D51" s="156"/>
      <c r="E51" s="156"/>
      <c r="F51" s="156"/>
      <c r="G51" s="156"/>
      <c r="H51" s="156"/>
      <c r="I51" s="156"/>
      <c r="J51" s="156"/>
      <c r="K51" s="156"/>
      <c r="L51" s="156"/>
      <c r="M51" s="156"/>
    </row>
    <row r="52" spans="2:14" x14ac:dyDescent="0.2">
      <c r="C52" s="155" t="s">
        <v>105</v>
      </c>
      <c r="D52" s="156"/>
      <c r="E52" s="156"/>
      <c r="F52" s="156"/>
      <c r="G52" s="156"/>
      <c r="H52" s="156"/>
      <c r="I52" s="156"/>
      <c r="J52" s="156"/>
      <c r="K52" s="156"/>
      <c r="L52" s="156"/>
      <c r="M52" s="156"/>
    </row>
    <row r="53" spans="2:14" ht="39.75" customHeight="1" x14ac:dyDescent="0.2">
      <c r="C53" s="245" t="s">
        <v>92</v>
      </c>
      <c r="D53" s="245"/>
      <c r="E53" s="245"/>
      <c r="F53" s="245"/>
      <c r="G53" s="245"/>
      <c r="H53" s="245"/>
      <c r="I53" s="245"/>
      <c r="J53" s="245"/>
      <c r="K53" s="245"/>
      <c r="L53" s="245"/>
      <c r="M53" s="245"/>
    </row>
    <row r="54" spans="2:14" x14ac:dyDescent="0.2">
      <c r="C54" s="155" t="s">
        <v>104</v>
      </c>
      <c r="D54" s="156"/>
      <c r="E54" s="156"/>
      <c r="F54" s="156"/>
      <c r="G54" s="156"/>
      <c r="H54" s="156"/>
      <c r="I54" s="156"/>
      <c r="J54" s="156"/>
      <c r="K54" s="156"/>
      <c r="L54" s="156"/>
      <c r="M54" s="156"/>
    </row>
    <row r="55" spans="2:14" x14ac:dyDescent="0.2">
      <c r="C55" s="47"/>
    </row>
    <row r="56" spans="2:14" ht="15" thickBot="1" x14ac:dyDescent="0.25">
      <c r="C56" s="49" t="s">
        <v>33</v>
      </c>
    </row>
    <row r="57" spans="2:14" s="50" customFormat="1" ht="30.95" customHeight="1" x14ac:dyDescent="0.2">
      <c r="B57" s="51"/>
      <c r="C57" s="235" t="s">
        <v>20</v>
      </c>
      <c r="D57" s="236"/>
      <c r="E57" s="237" t="s">
        <v>93</v>
      </c>
      <c r="F57" s="238"/>
      <c r="G57" s="238"/>
      <c r="H57" s="238"/>
      <c r="I57" s="238"/>
      <c r="J57" s="238"/>
      <c r="K57" s="238"/>
      <c r="L57" s="238"/>
      <c r="M57" s="239"/>
    </row>
    <row r="58" spans="2:14" s="50" customFormat="1" ht="30.95" customHeight="1" x14ac:dyDescent="0.2">
      <c r="B58" s="51"/>
      <c r="C58" s="240" t="s">
        <v>21</v>
      </c>
      <c r="D58" s="241"/>
      <c r="E58" s="242" t="s">
        <v>126</v>
      </c>
      <c r="F58" s="243"/>
      <c r="G58" s="243"/>
      <c r="H58" s="243"/>
      <c r="I58" s="243"/>
      <c r="J58" s="243"/>
      <c r="K58" s="243"/>
      <c r="L58" s="243"/>
      <c r="M58" s="244"/>
    </row>
    <row r="59" spans="2:14" s="50" customFormat="1" ht="30.95" customHeight="1" x14ac:dyDescent="0.2">
      <c r="B59" s="51"/>
      <c r="C59" s="257" t="s">
        <v>22</v>
      </c>
      <c r="D59" s="258"/>
      <c r="E59" s="259" t="s">
        <v>23</v>
      </c>
      <c r="F59" s="260"/>
      <c r="G59" s="260"/>
      <c r="H59" s="260"/>
      <c r="I59" s="260"/>
      <c r="J59" s="260"/>
      <c r="K59" s="260"/>
      <c r="L59" s="260"/>
      <c r="M59" s="261"/>
    </row>
    <row r="60" spans="2:14" s="50" customFormat="1" ht="30.95" customHeight="1" x14ac:dyDescent="0.2">
      <c r="B60" s="51"/>
      <c r="C60" s="255" t="s">
        <v>24</v>
      </c>
      <c r="D60" s="256"/>
      <c r="E60" s="250" t="s">
        <v>25</v>
      </c>
      <c r="F60" s="250"/>
      <c r="G60" s="250"/>
      <c r="H60" s="250"/>
      <c r="I60" s="250"/>
      <c r="J60" s="250"/>
      <c r="K60" s="250"/>
      <c r="L60" s="250"/>
      <c r="M60" s="251"/>
    </row>
    <row r="61" spans="2:14" s="50" customFormat="1" ht="30.95" customHeight="1" x14ac:dyDescent="0.2">
      <c r="B61" s="51"/>
      <c r="C61" s="240" t="s">
        <v>21</v>
      </c>
      <c r="D61" s="241"/>
      <c r="E61" s="229" t="s">
        <v>127</v>
      </c>
      <c r="F61" s="230"/>
      <c r="G61" s="230"/>
      <c r="H61" s="230"/>
      <c r="I61" s="230"/>
      <c r="J61" s="230"/>
      <c r="K61" s="230"/>
      <c r="L61" s="230"/>
      <c r="M61" s="231"/>
    </row>
    <row r="62" spans="2:14" s="50" customFormat="1" ht="30.95" customHeight="1" x14ac:dyDescent="0.2">
      <c r="B62" s="51"/>
      <c r="C62" s="255" t="s">
        <v>18</v>
      </c>
      <c r="D62" s="256"/>
      <c r="E62" s="250" t="s">
        <v>26</v>
      </c>
      <c r="F62" s="250"/>
      <c r="G62" s="250"/>
      <c r="H62" s="250"/>
      <c r="I62" s="250"/>
      <c r="J62" s="250"/>
      <c r="K62" s="250"/>
      <c r="L62" s="250"/>
      <c r="M62" s="251"/>
    </row>
    <row r="63" spans="2:14" s="50" customFormat="1" ht="30.95" customHeight="1" x14ac:dyDescent="0.2">
      <c r="B63" s="51"/>
      <c r="C63" s="240" t="s">
        <v>21</v>
      </c>
      <c r="D63" s="241"/>
      <c r="E63" s="229" t="s">
        <v>128</v>
      </c>
      <c r="F63" s="230"/>
      <c r="G63" s="230"/>
      <c r="H63" s="230"/>
      <c r="I63" s="230"/>
      <c r="J63" s="230"/>
      <c r="K63" s="230"/>
      <c r="L63" s="230"/>
      <c r="M63" s="231"/>
    </row>
    <row r="64" spans="2:14" s="50" customFormat="1" ht="30.95" customHeight="1" x14ac:dyDescent="0.25">
      <c r="B64" s="51"/>
      <c r="C64" s="255" t="s">
        <v>27</v>
      </c>
      <c r="D64" s="256"/>
      <c r="E64" s="250" t="s">
        <v>28</v>
      </c>
      <c r="F64" s="250"/>
      <c r="G64" s="250"/>
      <c r="H64" s="250"/>
      <c r="I64" s="250"/>
      <c r="J64" s="250"/>
      <c r="K64" s="250"/>
      <c r="L64" s="250"/>
      <c r="M64" s="251"/>
      <c r="N64" s="52"/>
    </row>
    <row r="65" spans="2:14" s="50" customFormat="1" ht="30.95" customHeight="1" x14ac:dyDescent="0.2">
      <c r="B65" s="51"/>
      <c r="C65" s="240" t="s">
        <v>21</v>
      </c>
      <c r="D65" s="241"/>
      <c r="E65" s="229" t="s">
        <v>129</v>
      </c>
      <c r="F65" s="230"/>
      <c r="G65" s="230"/>
      <c r="H65" s="230"/>
      <c r="I65" s="230"/>
      <c r="J65" s="230"/>
      <c r="K65" s="230"/>
      <c r="L65" s="230"/>
      <c r="M65" s="231"/>
    </row>
    <row r="66" spans="2:14" s="50" customFormat="1" ht="30.95" customHeight="1" x14ac:dyDescent="0.25">
      <c r="B66" s="51"/>
      <c r="C66" s="248" t="s">
        <v>29</v>
      </c>
      <c r="D66" s="249"/>
      <c r="E66" s="250" t="s">
        <v>30</v>
      </c>
      <c r="F66" s="250"/>
      <c r="G66" s="250"/>
      <c r="H66" s="250"/>
      <c r="I66" s="250"/>
      <c r="J66" s="250"/>
      <c r="K66" s="250"/>
      <c r="L66" s="250"/>
      <c r="M66" s="251"/>
      <c r="N66" s="52"/>
    </row>
    <row r="67" spans="2:14" s="50" customFormat="1" ht="30.95" customHeight="1" x14ac:dyDescent="0.2">
      <c r="B67" s="51"/>
      <c r="C67" s="240" t="s">
        <v>21</v>
      </c>
      <c r="D67" s="241"/>
      <c r="E67" s="264" t="s">
        <v>131</v>
      </c>
      <c r="F67" s="265"/>
      <c r="G67" s="265"/>
      <c r="H67" s="265"/>
      <c r="I67" s="265"/>
      <c r="J67" s="265"/>
      <c r="K67" s="265"/>
      <c r="L67" s="265"/>
      <c r="M67" s="266"/>
    </row>
    <row r="68" spans="2:14" s="50" customFormat="1" ht="30.95" customHeight="1" x14ac:dyDescent="0.25">
      <c r="B68" s="51"/>
      <c r="C68" s="255" t="s">
        <v>31</v>
      </c>
      <c r="D68" s="256"/>
      <c r="E68" s="246" t="s">
        <v>32</v>
      </c>
      <c r="F68" s="246"/>
      <c r="G68" s="246"/>
      <c r="H68" s="246"/>
      <c r="I68" s="246"/>
      <c r="J68" s="246"/>
      <c r="K68" s="246"/>
      <c r="L68" s="246"/>
      <c r="M68" s="247"/>
      <c r="N68" s="52"/>
    </row>
    <row r="69" spans="2:14" s="50" customFormat="1" ht="30.95" customHeight="1" thickBot="1" x14ac:dyDescent="0.25">
      <c r="B69" s="51"/>
      <c r="C69" s="262" t="s">
        <v>21</v>
      </c>
      <c r="D69" s="263"/>
      <c r="E69" s="252" t="s">
        <v>130</v>
      </c>
      <c r="F69" s="253"/>
      <c r="G69" s="253"/>
      <c r="H69" s="253"/>
      <c r="I69" s="253"/>
      <c r="J69" s="253"/>
      <c r="K69" s="253"/>
      <c r="L69" s="253"/>
      <c r="M69" s="254"/>
    </row>
  </sheetData>
  <mergeCells count="39">
    <mergeCell ref="W10:X13"/>
    <mergeCell ref="B35:B47"/>
    <mergeCell ref="C42:D42"/>
    <mergeCell ref="B9:B21"/>
    <mergeCell ref="C16:D16"/>
    <mergeCell ref="B22:B34"/>
    <mergeCell ref="C29:D29"/>
    <mergeCell ref="E6:U6"/>
    <mergeCell ref="W6:AC6"/>
    <mergeCell ref="AE6:AJ6"/>
    <mergeCell ref="E69:M69"/>
    <mergeCell ref="E63:M63"/>
    <mergeCell ref="C64:D64"/>
    <mergeCell ref="E64:M64"/>
    <mergeCell ref="C59:D59"/>
    <mergeCell ref="E59:M59"/>
    <mergeCell ref="C60:D60"/>
    <mergeCell ref="E60:M60"/>
    <mergeCell ref="C61:D61"/>
    <mergeCell ref="C67:D67"/>
    <mergeCell ref="C69:D69"/>
    <mergeCell ref="E67:M67"/>
    <mergeCell ref="C62:D62"/>
    <mergeCell ref="E62:M62"/>
    <mergeCell ref="C63:D63"/>
    <mergeCell ref="C68:D68"/>
    <mergeCell ref="E68:M68"/>
    <mergeCell ref="C66:D66"/>
    <mergeCell ref="E66:M66"/>
    <mergeCell ref="C65:D65"/>
    <mergeCell ref="E65:M65"/>
    <mergeCell ref="E61:M61"/>
    <mergeCell ref="W23:X26"/>
    <mergeCell ref="W36:X39"/>
    <mergeCell ref="C57:D57"/>
    <mergeCell ref="E57:M57"/>
    <mergeCell ref="C58:D58"/>
    <mergeCell ref="E58:M58"/>
    <mergeCell ref="C53:M53"/>
  </mergeCells>
  <phoneticPr fontId="30" type="noConversion"/>
  <hyperlinks>
    <hyperlink ref="E58" r:id="rId1" location="/portail?menuId=1e4f6717-1115-4a9e-a07c-8460e27b4eaf" xr:uid="{00000000-0004-0000-0100-000000000000}"/>
    <hyperlink ref="E61" r:id="rId2" location="/portail?menuId=6145fb4c-1724-419c-9115-cffe62159464" xr:uid="{00000000-0004-0000-0100-000001000000}"/>
    <hyperlink ref="E63" r:id="rId3" location="/portail?menuId=c9c86875-4fcf-47cd-8875-d3c64d74af5b" xr:uid="{00000000-0004-0000-0100-000002000000}"/>
    <hyperlink ref="E65" r:id="rId4" location="/portail?menuId=0aa51283-9e4b-4714-a454-8ae313def6f2" xr:uid="{00000000-0004-0000-0100-000003000000}"/>
    <hyperlink ref="E67" r:id="rId5" location="/expose?file_leaf_ref=allocation_avant_retraite_ata_ex.aspx" xr:uid="{00000000-0004-0000-0100-000004000000}"/>
    <hyperlink ref="E69" r:id="rId6" location="/portail?menuId=eefc515b-4f33-4c63-87d1-1d4437af3592" xr:uid="{00000000-0004-0000-0100-000005000000}"/>
  </hyperlinks>
  <pageMargins left="0" right="0" top="0.31496062992125984" bottom="0.31496062992125984" header="0.23622047244094491" footer="0.23622047244094491"/>
  <pageSetup paperSize="9" scale="70" orientation="landscape" horizontalDpi="4294967295" verticalDpi="4294967295" r:id="rId7"/>
  <ignoredErrors>
    <ignoredError sqref="E39:O39 P39:U39" formula="1"/>
    <ignoredError sqref="K26:P26 E26:J26" formulaRange="1"/>
  </ignoredError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H22"/>
  <sheetViews>
    <sheetView workbookViewId="0">
      <pane xSplit="2" topLeftCell="Y1" activePane="topRight" state="frozen"/>
      <selection pane="topRight" activeCell="AA10" sqref="AA10"/>
    </sheetView>
  </sheetViews>
  <sheetFormatPr baseColWidth="10" defaultColWidth="11.42578125" defaultRowHeight="11.25" x14ac:dyDescent="0.2"/>
  <cols>
    <col min="1" max="1" width="4.5703125" style="54" customWidth="1"/>
    <col min="2" max="2" width="50.7109375" style="54" customWidth="1"/>
    <col min="3" max="16" width="11.42578125" style="54" customWidth="1"/>
    <col min="17" max="19" width="11.42578125" style="54"/>
    <col min="20" max="20" width="6.42578125" style="54" customWidth="1"/>
    <col min="21" max="22" width="11.42578125" style="54" customWidth="1"/>
    <col min="23" max="27" width="11.42578125" style="54"/>
    <col min="28" max="30" width="11.42578125" style="54" customWidth="1"/>
    <col min="31" max="16384" width="11.42578125" style="54"/>
  </cols>
  <sheetData>
    <row r="1" spans="2:34" s="2" customFormat="1" ht="41.25" customHeight="1" x14ac:dyDescent="0.2"/>
    <row r="2" spans="2:34" s="2" customFormat="1" ht="14.25" x14ac:dyDescent="0.2"/>
    <row r="3" spans="2:34" s="2" customFormat="1" ht="17.25" customHeight="1" x14ac:dyDescent="0.2">
      <c r="B3" s="189" t="s">
        <v>115</v>
      </c>
      <c r="C3" s="5"/>
      <c r="D3" s="6"/>
    </row>
    <row r="4" spans="2:34" s="2" customFormat="1" ht="14.25" x14ac:dyDescent="0.2">
      <c r="B4" s="7"/>
      <c r="C4" s="8"/>
      <c r="D4" s="8"/>
      <c r="E4" s="7"/>
      <c r="F4" s="7"/>
    </row>
    <row r="5" spans="2:34" s="2" customFormat="1" ht="16.5" thickBot="1" x14ac:dyDescent="0.25">
      <c r="B5" s="48" t="str">
        <f>'Retraités en paiement'!C5</f>
        <v>Séries sur les retraités du régime général en paiement au 31 décembre de l'année</v>
      </c>
      <c r="C5" s="8"/>
      <c r="D5" s="8"/>
      <c r="E5" s="7"/>
      <c r="F5" s="7"/>
    </row>
    <row r="6" spans="2:34" s="2" customFormat="1" ht="30" customHeight="1" thickBot="1" x14ac:dyDescent="0.25">
      <c r="B6" s="7"/>
      <c r="C6" s="284" t="s">
        <v>0</v>
      </c>
      <c r="D6" s="285"/>
      <c r="E6" s="285"/>
      <c r="F6" s="285"/>
      <c r="G6" s="285"/>
      <c r="H6" s="285"/>
      <c r="I6" s="285"/>
      <c r="J6" s="285"/>
      <c r="K6" s="285"/>
      <c r="L6" s="285"/>
      <c r="M6" s="285"/>
      <c r="N6" s="285"/>
      <c r="O6" s="285"/>
      <c r="P6" s="285"/>
      <c r="Q6" s="285"/>
      <c r="R6" s="285"/>
      <c r="S6" s="285"/>
      <c r="T6" s="61"/>
      <c r="U6" s="267" t="s">
        <v>109</v>
      </c>
      <c r="V6" s="268"/>
      <c r="W6" s="268"/>
      <c r="X6" s="268"/>
      <c r="Y6" s="268"/>
      <c r="Z6" s="268"/>
      <c r="AA6" s="269"/>
      <c r="AC6" s="270" t="s">
        <v>106</v>
      </c>
      <c r="AD6" s="271"/>
      <c r="AE6" s="271"/>
      <c r="AF6" s="271"/>
      <c r="AG6" s="271"/>
      <c r="AH6" s="272"/>
    </row>
    <row r="7" spans="2:34" s="12" customFormat="1" ht="19.149999999999999" customHeight="1" thickBot="1" x14ac:dyDescent="0.3">
      <c r="B7" s="10"/>
      <c r="C7" s="53">
        <v>2003</v>
      </c>
      <c r="D7" s="53">
        <v>2004</v>
      </c>
      <c r="E7" s="53">
        <v>2005</v>
      </c>
      <c r="F7" s="53">
        <v>2006</v>
      </c>
      <c r="G7" s="53">
        <v>2007</v>
      </c>
      <c r="H7" s="53">
        <v>2008</v>
      </c>
      <c r="I7" s="53">
        <v>2009</v>
      </c>
      <c r="J7" s="53">
        <v>2010</v>
      </c>
      <c r="K7" s="53">
        <v>2011</v>
      </c>
      <c r="L7" s="53">
        <v>2012</v>
      </c>
      <c r="M7" s="53">
        <v>2013</v>
      </c>
      <c r="N7" s="53">
        <v>2014</v>
      </c>
      <c r="O7" s="53">
        <v>2015</v>
      </c>
      <c r="P7" s="53">
        <v>2016</v>
      </c>
      <c r="Q7" s="53">
        <v>2017</v>
      </c>
      <c r="R7" s="53">
        <v>2018</v>
      </c>
      <c r="S7" s="53">
        <v>2019</v>
      </c>
      <c r="T7" s="62"/>
      <c r="U7" s="13" t="s">
        <v>1</v>
      </c>
      <c r="V7" s="13">
        <v>2020</v>
      </c>
      <c r="W7" s="13">
        <v>2021</v>
      </c>
      <c r="X7" s="13">
        <v>2022</v>
      </c>
      <c r="Y7" s="13">
        <v>2023</v>
      </c>
      <c r="Z7" s="13">
        <v>2024</v>
      </c>
      <c r="AA7" s="13">
        <v>2025</v>
      </c>
      <c r="AC7" s="145" t="s">
        <v>101</v>
      </c>
      <c r="AD7" s="145" t="s">
        <v>102</v>
      </c>
      <c r="AE7" s="145" t="s">
        <v>123</v>
      </c>
      <c r="AF7" s="145" t="s">
        <v>125</v>
      </c>
      <c r="AG7" s="145" t="s">
        <v>144</v>
      </c>
      <c r="AH7" s="145" t="s">
        <v>145</v>
      </c>
    </row>
    <row r="8" spans="2:34" ht="12.75" customHeight="1" thickBot="1" x14ac:dyDescent="0.25">
      <c r="T8" s="60"/>
      <c r="AC8" s="172"/>
      <c r="AD8" s="172"/>
      <c r="AE8" s="172"/>
      <c r="AF8" s="172"/>
      <c r="AG8" s="172"/>
      <c r="AH8" s="172"/>
    </row>
    <row r="9" spans="2:34" ht="12.75" customHeight="1" thickBot="1" x14ac:dyDescent="0.25">
      <c r="B9" s="55" t="s">
        <v>2</v>
      </c>
      <c r="C9" s="56">
        <v>71.3</v>
      </c>
      <c r="D9" s="56">
        <v>71.2</v>
      </c>
      <c r="E9" s="56">
        <v>71.61</v>
      </c>
      <c r="F9" s="56">
        <v>71.540000000000006</v>
      </c>
      <c r="G9" s="56">
        <v>71.47</v>
      </c>
      <c r="H9" s="56">
        <v>71.430000000000007</v>
      </c>
      <c r="I9" s="56">
        <v>71.59</v>
      </c>
      <c r="J9" s="56">
        <v>71.709999999999994</v>
      </c>
      <c r="K9" s="56">
        <v>71.95</v>
      </c>
      <c r="L9" s="56">
        <v>72.2</v>
      </c>
      <c r="M9" s="56">
        <v>72.400000000000006</v>
      </c>
      <c r="N9" s="56">
        <v>72.599999999999994</v>
      </c>
      <c r="O9" s="56">
        <v>72.77</v>
      </c>
      <c r="P9" s="56">
        <v>72.97</v>
      </c>
      <c r="Q9" s="56">
        <v>73.13</v>
      </c>
      <c r="R9" s="56">
        <v>73.34</v>
      </c>
      <c r="S9" s="56">
        <v>73.599999999999994</v>
      </c>
      <c r="T9" s="59"/>
      <c r="U9" s="56">
        <v>73.5</v>
      </c>
      <c r="V9" s="56">
        <v>73.7</v>
      </c>
      <c r="W9" s="56">
        <v>73.807449507563973</v>
      </c>
      <c r="X9" s="56">
        <v>73.932291972062544</v>
      </c>
      <c r="Y9" s="56">
        <v>74.099999999999994</v>
      </c>
      <c r="Z9" s="56">
        <f>[5]recto!$C$32</f>
        <v>74.280884519682303</v>
      </c>
      <c r="AA9" s="56">
        <f>[18]recto!$C$32</f>
        <v>74.445991171789601</v>
      </c>
      <c r="AC9" s="211">
        <f t="shared" ref="AC9:AH11" si="0">V9/U9-1</f>
        <v>2.7210884353741083E-3</v>
      </c>
      <c r="AD9" s="211">
        <f t="shared" si="0"/>
        <v>1.4579309031745868E-3</v>
      </c>
      <c r="AE9" s="211">
        <f t="shared" si="0"/>
        <v>1.6914615710406089E-3</v>
      </c>
      <c r="AF9" s="211">
        <f t="shared" si="0"/>
        <v>2.268400227614098E-3</v>
      </c>
      <c r="AG9" s="211">
        <f t="shared" si="0"/>
        <v>2.4410866353887783E-3</v>
      </c>
      <c r="AH9" s="211">
        <f t="shared" si="0"/>
        <v>2.2227340610563306E-3</v>
      </c>
    </row>
    <row r="10" spans="2:34" ht="12.75" customHeight="1" thickBot="1" x14ac:dyDescent="0.25">
      <c r="B10" s="55" t="s">
        <v>11</v>
      </c>
      <c r="C10" s="56">
        <v>73.400000000000006</v>
      </c>
      <c r="D10" s="56">
        <v>73.55</v>
      </c>
      <c r="E10" s="56">
        <v>73.98</v>
      </c>
      <c r="F10" s="56">
        <v>73.92</v>
      </c>
      <c r="G10" s="56">
        <v>73.84</v>
      </c>
      <c r="H10" s="56">
        <v>73.78</v>
      </c>
      <c r="I10" s="56">
        <v>73.81</v>
      </c>
      <c r="J10" s="56">
        <v>73.83</v>
      </c>
      <c r="K10" s="56">
        <v>73.97</v>
      </c>
      <c r="L10" s="56">
        <v>74.2</v>
      </c>
      <c r="M10" s="56">
        <v>74.3</v>
      </c>
      <c r="N10" s="56">
        <v>74.400000000000006</v>
      </c>
      <c r="O10" s="56">
        <v>74.569999999999993</v>
      </c>
      <c r="P10" s="56">
        <v>74.73</v>
      </c>
      <c r="Q10" s="56">
        <v>74.86</v>
      </c>
      <c r="R10" s="56">
        <v>74.97</v>
      </c>
      <c r="S10" s="56">
        <v>75.099999999999994</v>
      </c>
      <c r="T10" s="59"/>
      <c r="U10" s="56">
        <v>75.099999999999994</v>
      </c>
      <c r="V10" s="56">
        <v>75.2</v>
      </c>
      <c r="W10" s="56">
        <v>75.32508216369277</v>
      </c>
      <c r="X10" s="56">
        <v>75.398813089029517</v>
      </c>
      <c r="Y10" s="56">
        <v>75.5</v>
      </c>
      <c r="Z10" s="56">
        <f>[5]recto!$C$33</f>
        <v>75.670079944500401</v>
      </c>
      <c r="AA10" s="56">
        <f>[18]recto!$C$33</f>
        <v>75.795770917373005</v>
      </c>
      <c r="AC10" s="211">
        <f t="shared" si="0"/>
        <v>1.3315579227697327E-3</v>
      </c>
      <c r="AD10" s="211">
        <f t="shared" si="0"/>
        <v>1.6633266448506934E-3</v>
      </c>
      <c r="AE10" s="211">
        <f t="shared" si="0"/>
        <v>9.7883630815709388E-4</v>
      </c>
      <c r="AF10" s="211">
        <f t="shared" si="0"/>
        <v>1.3420225972391453E-3</v>
      </c>
      <c r="AG10" s="211">
        <f t="shared" si="0"/>
        <v>2.2527144966939527E-3</v>
      </c>
      <c r="AH10" s="211">
        <f t="shared" si="0"/>
        <v>1.6610392504512461E-3</v>
      </c>
    </row>
    <row r="11" spans="2:34" s="66" customFormat="1" ht="20.25" customHeight="1" thickBot="1" x14ac:dyDescent="0.3">
      <c r="B11" s="191" t="s">
        <v>14</v>
      </c>
      <c r="C11" s="192">
        <v>72.5</v>
      </c>
      <c r="D11" s="192">
        <v>72.489999999999995</v>
      </c>
      <c r="E11" s="192">
        <v>72.91</v>
      </c>
      <c r="F11" s="192">
        <v>72.84</v>
      </c>
      <c r="G11" s="192">
        <v>72.77</v>
      </c>
      <c r="H11" s="192">
        <v>72.709999999999994</v>
      </c>
      <c r="I11" s="192">
        <v>72.8</v>
      </c>
      <c r="J11" s="192">
        <v>72.88</v>
      </c>
      <c r="K11" s="192">
        <v>73.069999999999993</v>
      </c>
      <c r="L11" s="192">
        <v>73.3</v>
      </c>
      <c r="M11" s="193">
        <v>73.400000000000006</v>
      </c>
      <c r="N11" s="193">
        <v>73.599999999999994</v>
      </c>
      <c r="O11" s="193">
        <v>73.760000000000005</v>
      </c>
      <c r="P11" s="193">
        <v>73.95</v>
      </c>
      <c r="Q11" s="193">
        <v>74.09</v>
      </c>
      <c r="R11" s="193">
        <v>74.25</v>
      </c>
      <c r="S11" s="193">
        <v>74.400000000000006</v>
      </c>
      <c r="T11" s="194"/>
      <c r="U11" s="195">
        <v>74.400000000000006</v>
      </c>
      <c r="V11" s="193">
        <v>74.5</v>
      </c>
      <c r="W11" s="193">
        <v>74.654366288201345</v>
      </c>
      <c r="X11" s="193">
        <v>74.75192188592942</v>
      </c>
      <c r="Y11" s="193">
        <v>74.900000000000006</v>
      </c>
      <c r="Z11" s="193">
        <f>[5]recto!$C$34</f>
        <v>75.058461618638205</v>
      </c>
      <c r="AA11" s="193">
        <f>[18]recto!$C$34</f>
        <v>75.202048696478499</v>
      </c>
      <c r="AC11" s="212">
        <f t="shared" si="0"/>
        <v>1.3440860215052641E-3</v>
      </c>
      <c r="AD11" s="212">
        <f t="shared" si="0"/>
        <v>2.0720307141119942E-3</v>
      </c>
      <c r="AE11" s="212">
        <f t="shared" si="0"/>
        <v>1.3067634564261077E-3</v>
      </c>
      <c r="AF11" s="212">
        <f t="shared" si="0"/>
        <v>1.9809271833377551E-3</v>
      </c>
      <c r="AG11" s="212">
        <f t="shared" si="0"/>
        <v>2.1156424384272121E-3</v>
      </c>
      <c r="AH11" s="212">
        <f t="shared" si="0"/>
        <v>1.9130032076841719E-3</v>
      </c>
    </row>
    <row r="12" spans="2:34" ht="12" thickBot="1" x14ac:dyDescent="0.25">
      <c r="B12" s="57"/>
      <c r="C12" s="57"/>
      <c r="D12" s="57"/>
      <c r="E12" s="57"/>
      <c r="F12" s="57"/>
      <c r="G12" s="57"/>
      <c r="H12" s="57"/>
      <c r="I12" s="58"/>
      <c r="J12" s="57"/>
      <c r="K12" s="57"/>
      <c r="L12" s="57"/>
      <c r="M12" s="57"/>
      <c r="N12" s="57"/>
      <c r="O12" s="57"/>
      <c r="P12" s="57"/>
      <c r="Q12" s="57"/>
      <c r="R12" s="57"/>
      <c r="S12" s="57"/>
      <c r="T12" s="60"/>
      <c r="U12" s="57"/>
      <c r="V12" s="57"/>
      <c r="W12" s="57"/>
      <c r="X12" s="57"/>
      <c r="Y12" s="57"/>
      <c r="Z12" s="57"/>
      <c r="AA12" s="57"/>
      <c r="AC12" s="213"/>
      <c r="AD12" s="213"/>
      <c r="AE12" s="213"/>
      <c r="AF12" s="213"/>
      <c r="AG12" s="213"/>
      <c r="AH12" s="213"/>
    </row>
    <row r="13" spans="2:34" s="156" customFormat="1" ht="12.75" thickTop="1" x14ac:dyDescent="0.2">
      <c r="B13" s="155" t="s">
        <v>85</v>
      </c>
    </row>
    <row r="14" spans="2:34" s="156" customFormat="1" ht="12" x14ac:dyDescent="0.2">
      <c r="B14" s="155" t="s">
        <v>117</v>
      </c>
    </row>
    <row r="15" spans="2:34" s="156" customFormat="1" ht="12" x14ac:dyDescent="0.2">
      <c r="B15" s="155" t="s">
        <v>107</v>
      </c>
    </row>
    <row r="16" spans="2:34" s="156" customFormat="1" ht="12" x14ac:dyDescent="0.2">
      <c r="B16" s="155" t="s">
        <v>15</v>
      </c>
    </row>
    <row r="17" spans="2:12" s="2" customFormat="1" ht="14.25" x14ac:dyDescent="0.2">
      <c r="B17" s="1"/>
    </row>
    <row r="18" spans="2:12" s="2" customFormat="1" ht="15" thickBot="1" x14ac:dyDescent="0.25">
      <c r="B18" s="49" t="s">
        <v>33</v>
      </c>
    </row>
    <row r="19" spans="2:12" ht="29.25" customHeight="1" x14ac:dyDescent="0.2">
      <c r="B19" s="143" t="s">
        <v>20</v>
      </c>
      <c r="C19" s="292" t="s">
        <v>35</v>
      </c>
      <c r="D19" s="293"/>
      <c r="E19" s="293"/>
      <c r="F19" s="293"/>
      <c r="G19" s="293"/>
      <c r="H19" s="293"/>
      <c r="I19" s="293"/>
      <c r="J19" s="293"/>
      <c r="K19" s="293"/>
      <c r="L19" s="294"/>
    </row>
    <row r="20" spans="2:12" ht="15.75" thickBot="1" x14ac:dyDescent="0.25">
      <c r="B20" s="144" t="s">
        <v>36</v>
      </c>
      <c r="C20" s="295" t="s">
        <v>126</v>
      </c>
      <c r="D20" s="296"/>
      <c r="E20" s="296"/>
      <c r="F20" s="296"/>
      <c r="G20" s="296"/>
      <c r="H20" s="296"/>
      <c r="I20" s="296"/>
      <c r="J20" s="296"/>
      <c r="K20" s="296"/>
      <c r="L20" s="297"/>
    </row>
    <row r="21" spans="2:12" ht="24" customHeight="1" x14ac:dyDescent="0.2">
      <c r="B21" s="143" t="s">
        <v>37</v>
      </c>
      <c r="C21" s="289" t="s">
        <v>38</v>
      </c>
      <c r="D21" s="290"/>
      <c r="E21" s="290"/>
      <c r="F21" s="290"/>
      <c r="G21" s="290"/>
      <c r="H21" s="290"/>
      <c r="I21" s="290"/>
      <c r="J21" s="290"/>
      <c r="K21" s="290"/>
      <c r="L21" s="291"/>
    </row>
    <row r="22" spans="2:12" ht="16.149999999999999" customHeight="1" thickBot="1" x14ac:dyDescent="0.25">
      <c r="B22" s="144" t="s">
        <v>36</v>
      </c>
      <c r="C22" s="286" t="s">
        <v>132</v>
      </c>
      <c r="D22" s="287"/>
      <c r="E22" s="287"/>
      <c r="F22" s="287"/>
      <c r="G22" s="287"/>
      <c r="H22" s="287"/>
      <c r="I22" s="287"/>
      <c r="J22" s="287"/>
      <c r="K22" s="287"/>
      <c r="L22" s="288"/>
    </row>
  </sheetData>
  <mergeCells count="7">
    <mergeCell ref="C22:L22"/>
    <mergeCell ref="C21:L21"/>
    <mergeCell ref="C19:L19"/>
    <mergeCell ref="C6:S6"/>
    <mergeCell ref="C20:L20"/>
    <mergeCell ref="U6:AA6"/>
    <mergeCell ref="AC6:AH6"/>
  </mergeCells>
  <phoneticPr fontId="30" type="noConversion"/>
  <hyperlinks>
    <hyperlink ref="C20" r:id="rId1" location="/portail?menuId=1e4f6717-1115-4a9e-a07c-8460e27b4eaf" xr:uid="{00000000-0004-0000-0200-000000000000}"/>
    <hyperlink ref="C22" r:id="rId2" location="/portail?menuId=1c16c24d-2f17-4b8a-9551-52d6746cbb3a"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7"/>
  <sheetViews>
    <sheetView topLeftCell="A9" workbookViewId="0">
      <pane xSplit="4" topLeftCell="V1" activePane="topRight" state="frozen"/>
      <selection activeCell="A10" sqref="A10"/>
      <selection pane="topRight" activeCell="AB9" sqref="AB9"/>
    </sheetView>
  </sheetViews>
  <sheetFormatPr baseColWidth="10" defaultColWidth="1" defaultRowHeight="14.25" x14ac:dyDescent="0.2"/>
  <cols>
    <col min="1" max="1" width="1" style="2" customWidth="1"/>
    <col min="2" max="2" width="4.28515625" style="1" customWidth="1"/>
    <col min="3" max="3" width="19.5703125" style="54" customWidth="1"/>
    <col min="4" max="4" width="49.28515625" style="54" customWidth="1"/>
    <col min="5" max="21" width="11.42578125" style="54" customWidth="1"/>
    <col min="22" max="22" width="5.85546875" style="54" customWidth="1"/>
    <col min="23" max="30" width="11.42578125" style="54" customWidth="1"/>
    <col min="31" max="32" width="11.42578125" style="172" customWidth="1"/>
    <col min="33" max="255" width="11.42578125" style="54" customWidth="1"/>
    <col min="256" max="16384" width="1" style="54"/>
  </cols>
  <sheetData>
    <row r="1" spans="1:36" s="2" customFormat="1" ht="51" customHeight="1" x14ac:dyDescent="0.2">
      <c r="B1" s="1"/>
      <c r="X1" s="89"/>
      <c r="Y1" s="89"/>
      <c r="Z1" s="89"/>
      <c r="AA1" s="89"/>
      <c r="AB1" s="89"/>
      <c r="AC1" s="89"/>
      <c r="AD1" s="89"/>
      <c r="AE1" s="165"/>
      <c r="AF1" s="165"/>
    </row>
    <row r="2" spans="1:36" s="2" customFormat="1" ht="6.75" customHeight="1" x14ac:dyDescent="0.2">
      <c r="B2" s="1"/>
      <c r="X2" s="89"/>
      <c r="Y2" s="89"/>
      <c r="Z2" s="89"/>
      <c r="AA2" s="89"/>
      <c r="AB2" s="89"/>
      <c r="AC2" s="89"/>
      <c r="AD2" s="89"/>
      <c r="AE2" s="165"/>
      <c r="AF2" s="165"/>
    </row>
    <row r="3" spans="1:36" s="2" customFormat="1" ht="17.25" customHeight="1" x14ac:dyDescent="0.2">
      <c r="B3" s="1"/>
      <c r="C3" s="3" t="s">
        <v>39</v>
      </c>
      <c r="D3" s="4"/>
      <c r="E3" s="5"/>
      <c r="F3" s="6"/>
      <c r="X3" s="89"/>
      <c r="Y3" s="135"/>
      <c r="Z3" s="135"/>
      <c r="AA3" s="135"/>
      <c r="AB3" s="135"/>
      <c r="AC3" s="135"/>
      <c r="AD3" s="214"/>
      <c r="AE3" s="165"/>
      <c r="AF3" s="165"/>
    </row>
    <row r="4" spans="1:36" s="2" customFormat="1" ht="7.9" customHeight="1" x14ac:dyDescent="0.2">
      <c r="B4" s="1"/>
      <c r="C4" s="7"/>
      <c r="D4" s="8"/>
      <c r="E4" s="8"/>
      <c r="F4" s="8"/>
      <c r="G4" s="7"/>
      <c r="H4" s="7"/>
      <c r="X4" s="89"/>
      <c r="Y4" s="89"/>
      <c r="Z4" s="89"/>
      <c r="AA4" s="89"/>
      <c r="AB4" s="89"/>
      <c r="AC4" s="89"/>
      <c r="AD4" s="89"/>
      <c r="AE4" s="165"/>
      <c r="AF4" s="165"/>
    </row>
    <row r="5" spans="1:36" s="2" customFormat="1" ht="19.5" customHeight="1" thickBot="1" x14ac:dyDescent="0.25">
      <c r="B5" s="1"/>
      <c r="C5" s="48" t="s">
        <v>103</v>
      </c>
      <c r="D5" s="8"/>
      <c r="E5" s="8"/>
      <c r="F5" s="8"/>
      <c r="G5" s="7"/>
      <c r="H5" s="7"/>
      <c r="AE5" s="165"/>
      <c r="AF5" s="165"/>
    </row>
    <row r="6" spans="1:36" s="2" customFormat="1" ht="30" customHeight="1" thickBot="1" x14ac:dyDescent="0.25">
      <c r="B6" s="1"/>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1:36" s="12" customFormat="1" ht="19.149999999999999" customHeight="1" thickBot="1" x14ac:dyDescent="0.3">
      <c r="B7" s="9"/>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1:36" s="66" customFormat="1" ht="12.75" customHeight="1" thickBot="1" x14ac:dyDescent="0.3">
      <c r="A8" s="12"/>
      <c r="B8" s="63"/>
      <c r="C8" s="64"/>
      <c r="D8" s="65"/>
      <c r="AE8" s="166"/>
      <c r="AF8" s="166"/>
      <c r="AG8" s="166"/>
      <c r="AH8" s="166"/>
      <c r="AI8" s="166"/>
      <c r="AJ8" s="166"/>
    </row>
    <row r="9" spans="1:36" s="66" customFormat="1" ht="12.95" customHeight="1" thickTop="1" thickBot="1" x14ac:dyDescent="0.3">
      <c r="A9" s="12"/>
      <c r="B9" s="304" t="s">
        <v>2</v>
      </c>
      <c r="C9" s="67" t="s">
        <v>40</v>
      </c>
      <c r="D9" s="67"/>
      <c r="E9" s="68">
        <v>597</v>
      </c>
      <c r="F9" s="68">
        <v>612</v>
      </c>
      <c r="G9" s="68">
        <v>628</v>
      </c>
      <c r="H9" s="68">
        <v>642</v>
      </c>
      <c r="I9" s="68">
        <v>658</v>
      </c>
      <c r="J9" s="68">
        <v>675</v>
      </c>
      <c r="K9" s="68">
        <v>684</v>
      </c>
      <c r="L9" s="68">
        <v>694</v>
      </c>
      <c r="M9" s="68">
        <v>710</v>
      </c>
      <c r="N9" s="68">
        <v>729</v>
      </c>
      <c r="O9" s="68">
        <v>740</v>
      </c>
      <c r="P9" s="68">
        <v>744</v>
      </c>
      <c r="Q9" s="68">
        <v>749</v>
      </c>
      <c r="R9" s="68">
        <v>753</v>
      </c>
      <c r="S9" s="68">
        <v>766</v>
      </c>
      <c r="T9" s="68">
        <v>772</v>
      </c>
      <c r="U9" s="68">
        <v>780</v>
      </c>
      <c r="W9" s="68">
        <v>835</v>
      </c>
      <c r="X9" s="68">
        <v>850.99</v>
      </c>
      <c r="Y9" s="68">
        <v>861</v>
      </c>
      <c r="Z9" s="68">
        <v>911</v>
      </c>
      <c r="AA9" s="68">
        <v>925.0194939741591</v>
      </c>
      <c r="AB9" s="68">
        <f>[10]Montants!$C$9</f>
        <v>981.61434350181696</v>
      </c>
      <c r="AC9" s="68">
        <f>[19]Montants!$C$9</f>
        <v>1008.66004965063</v>
      </c>
      <c r="AE9" s="173">
        <f>X9/W9-1</f>
        <v>1.9149700598802388E-2</v>
      </c>
      <c r="AF9" s="173">
        <f>Y9/X9-1</f>
        <v>1.1762770420334023E-2</v>
      </c>
      <c r="AG9" s="173">
        <f>Z9/Y9-1</f>
        <v>5.8072009291521454E-2</v>
      </c>
      <c r="AH9" s="173">
        <f>AA9/Z9-1</f>
        <v>1.5389126206541315E-2</v>
      </c>
      <c r="AI9" s="173">
        <f>AB9/AA9-1</f>
        <v>6.1182331719853211E-2</v>
      </c>
      <c r="AJ9" s="173">
        <f>AC9/AB9-1</f>
        <v>2.7552272771738329E-2</v>
      </c>
    </row>
    <row r="10" spans="1:36" s="66" customFormat="1" ht="12.95" customHeight="1" thickBot="1" x14ac:dyDescent="0.3">
      <c r="A10" s="12"/>
      <c r="B10" s="305"/>
      <c r="C10" s="69" t="s">
        <v>41</v>
      </c>
      <c r="D10" s="69"/>
      <c r="E10" s="70">
        <v>930.3</v>
      </c>
      <c r="F10" s="70">
        <v>941</v>
      </c>
      <c r="G10" s="70">
        <v>963</v>
      </c>
      <c r="H10" s="70">
        <v>982</v>
      </c>
      <c r="I10" s="70">
        <v>1003</v>
      </c>
      <c r="J10" s="70">
        <v>1025</v>
      </c>
      <c r="K10" s="70">
        <v>1039</v>
      </c>
      <c r="L10" s="70">
        <v>1053</v>
      </c>
      <c r="M10" s="70">
        <v>1078</v>
      </c>
      <c r="N10" s="70">
        <v>1106</v>
      </c>
      <c r="O10" s="70">
        <v>1125</v>
      </c>
      <c r="P10" s="70">
        <v>1131</v>
      </c>
      <c r="Q10" s="70">
        <v>1138</v>
      </c>
      <c r="R10" s="70">
        <v>1144</v>
      </c>
      <c r="S10" s="70">
        <v>1159</v>
      </c>
      <c r="T10" s="70">
        <v>1165</v>
      </c>
      <c r="U10" s="70">
        <v>1175</v>
      </c>
      <c r="W10" s="298" t="s">
        <v>89</v>
      </c>
      <c r="X10" s="298"/>
      <c r="Y10" s="70">
        <f>[11]Montants!$C$14</f>
        <v>1207.3459153666381</v>
      </c>
      <c r="Z10" s="70">
        <v>1277</v>
      </c>
      <c r="AA10" s="70">
        <v>1294.53627690851</v>
      </c>
      <c r="AB10" s="70">
        <f>[10]Montants!$C$13</f>
        <v>1372.8136366162801</v>
      </c>
      <c r="AC10" s="70">
        <f>[19]Montants!$C$13</f>
        <v>1411.5244511763899</v>
      </c>
      <c r="AE10" s="154"/>
      <c r="AF10" s="154"/>
      <c r="AG10" s="154">
        <f>Z10/Y10-1</f>
        <v>5.7691903991085924E-2</v>
      </c>
      <c r="AH10" s="154">
        <f>AA10/Z10-1</f>
        <v>1.3732401651143311E-2</v>
      </c>
      <c r="AI10" s="154">
        <f>AB10/AA10-1</f>
        <v>6.0467490254274558E-2</v>
      </c>
      <c r="AJ10" s="154">
        <f>AC10/AB10-1</f>
        <v>2.8198157075074226E-2</v>
      </c>
    </row>
    <row r="11" spans="1:36" s="66" customFormat="1" ht="12.95" customHeight="1" thickBot="1" x14ac:dyDescent="0.3">
      <c r="A11" s="12"/>
      <c r="B11" s="305"/>
      <c r="C11" s="69" t="s">
        <v>110</v>
      </c>
      <c r="D11" s="69"/>
      <c r="E11" s="70">
        <v>167</v>
      </c>
      <c r="F11" s="70">
        <v>173</v>
      </c>
      <c r="G11" s="70">
        <v>178</v>
      </c>
      <c r="H11" s="70">
        <v>182</v>
      </c>
      <c r="I11" s="70">
        <v>184</v>
      </c>
      <c r="J11" s="70">
        <v>186</v>
      </c>
      <c r="K11" s="70">
        <v>187</v>
      </c>
      <c r="L11" s="70">
        <v>187</v>
      </c>
      <c r="M11" s="70">
        <v>190</v>
      </c>
      <c r="N11" s="70">
        <v>194</v>
      </c>
      <c r="O11" s="70">
        <v>198</v>
      </c>
      <c r="P11" s="70">
        <v>197</v>
      </c>
      <c r="Q11" s="70">
        <v>197</v>
      </c>
      <c r="R11" s="70">
        <v>196</v>
      </c>
      <c r="S11" s="70">
        <v>197</v>
      </c>
      <c r="T11" s="70">
        <v>198</v>
      </c>
      <c r="U11" s="70">
        <v>200</v>
      </c>
      <c r="W11" s="70">
        <v>200</v>
      </c>
      <c r="X11" s="70">
        <v>203</v>
      </c>
      <c r="Y11" s="70">
        <v>204</v>
      </c>
      <c r="Z11" s="70">
        <v>218</v>
      </c>
      <c r="AA11" s="70">
        <v>222.74639165618876</v>
      </c>
      <c r="AB11" s="70">
        <f>[10]Montants!$C$12</f>
        <v>238.99532161139501</v>
      </c>
      <c r="AC11" s="70">
        <f>[19]Montants!$C$12</f>
        <v>245.926505568068</v>
      </c>
      <c r="AE11" s="154">
        <f t="shared" ref="AE11:AE20" si="0">X11/W11-1</f>
        <v>1.4999999999999902E-2</v>
      </c>
      <c r="AF11" s="154">
        <f t="shared" ref="AF11:AJ20" si="1">Y11/X11-1</f>
        <v>4.9261083743843415E-3</v>
      </c>
      <c r="AG11" s="154">
        <f t="shared" si="1"/>
        <v>6.8627450980392135E-2</v>
      </c>
      <c r="AH11" s="154">
        <f t="shared" si="1"/>
        <v>2.1772438789856796E-2</v>
      </c>
      <c r="AI11" s="154">
        <f t="shared" si="1"/>
        <v>7.2948117517821043E-2</v>
      </c>
      <c r="AJ11" s="154">
        <f t="shared" si="1"/>
        <v>2.9001337389955362E-2</v>
      </c>
    </row>
    <row r="12" spans="1:36" s="66" customFormat="1" ht="35.1" customHeight="1" thickBot="1" x14ac:dyDescent="0.3">
      <c r="A12" s="12"/>
      <c r="B12" s="306"/>
      <c r="C12" s="71" t="s">
        <v>42</v>
      </c>
      <c r="D12" s="72"/>
      <c r="E12" s="73">
        <v>595.48602183939136</v>
      </c>
      <c r="F12" s="73">
        <v>610.61</v>
      </c>
      <c r="G12" s="73">
        <v>625.84</v>
      </c>
      <c r="H12" s="73">
        <v>640.11</v>
      </c>
      <c r="I12" s="73">
        <v>655.55</v>
      </c>
      <c r="J12" s="73">
        <v>672.11</v>
      </c>
      <c r="K12" s="73">
        <v>681.74</v>
      </c>
      <c r="L12" s="73">
        <v>691.16</v>
      </c>
      <c r="M12" s="73">
        <v>707.48</v>
      </c>
      <c r="N12" s="73">
        <v>725.76</v>
      </c>
      <c r="O12" s="73">
        <v>737</v>
      </c>
      <c r="P12" s="73">
        <v>741</v>
      </c>
      <c r="Q12" s="73">
        <v>746</v>
      </c>
      <c r="R12" s="73">
        <v>750</v>
      </c>
      <c r="S12" s="73">
        <v>763</v>
      </c>
      <c r="T12" s="73">
        <v>769</v>
      </c>
      <c r="U12" s="73">
        <v>777</v>
      </c>
      <c r="W12" s="73">
        <v>832</v>
      </c>
      <c r="X12" s="73">
        <v>848</v>
      </c>
      <c r="Y12" s="73">
        <v>858</v>
      </c>
      <c r="Z12" s="73">
        <v>908</v>
      </c>
      <c r="AA12" s="73">
        <v>921.77988600158699</v>
      </c>
      <c r="AB12" s="73">
        <f>[10]Montants!$C$8</f>
        <v>978.16709614919898</v>
      </c>
      <c r="AC12" s="73">
        <f>[19]Montants!$C$8</f>
        <v>1005.09922623456</v>
      </c>
      <c r="AE12" s="167">
        <f t="shared" si="0"/>
        <v>1.9230769230769162E-2</v>
      </c>
      <c r="AF12" s="167">
        <f t="shared" si="1"/>
        <v>1.1792452830188704E-2</v>
      </c>
      <c r="AG12" s="167">
        <f t="shared" si="1"/>
        <v>5.8275058275058189E-2</v>
      </c>
      <c r="AH12" s="167">
        <f t="shared" si="1"/>
        <v>1.5176085904831549E-2</v>
      </c>
      <c r="AI12" s="167">
        <f t="shared" si="1"/>
        <v>6.1172098679873832E-2</v>
      </c>
      <c r="AJ12" s="167">
        <f t="shared" si="1"/>
        <v>2.7533261128273701E-2</v>
      </c>
    </row>
    <row r="13" spans="1:36" s="66" customFormat="1" ht="12.95" customHeight="1" thickTop="1" thickBot="1" x14ac:dyDescent="0.3">
      <c r="A13" s="12"/>
      <c r="B13" s="304" t="s">
        <v>11</v>
      </c>
      <c r="C13" s="74" t="s">
        <v>40</v>
      </c>
      <c r="D13" s="75"/>
      <c r="E13" s="76">
        <v>482</v>
      </c>
      <c r="F13" s="76">
        <v>494</v>
      </c>
      <c r="G13" s="76">
        <v>508</v>
      </c>
      <c r="H13" s="76">
        <v>523</v>
      </c>
      <c r="I13" s="76">
        <v>538</v>
      </c>
      <c r="J13" s="76">
        <v>554</v>
      </c>
      <c r="K13" s="76">
        <v>565</v>
      </c>
      <c r="L13" s="76">
        <v>576</v>
      </c>
      <c r="M13" s="76">
        <v>592</v>
      </c>
      <c r="N13" s="76">
        <v>609</v>
      </c>
      <c r="O13" s="76">
        <v>621</v>
      </c>
      <c r="P13" s="76">
        <v>626</v>
      </c>
      <c r="Q13" s="76">
        <v>631</v>
      </c>
      <c r="R13" s="76">
        <v>636</v>
      </c>
      <c r="S13" s="76">
        <v>647</v>
      </c>
      <c r="T13" s="76">
        <v>653</v>
      </c>
      <c r="U13" s="76">
        <v>662</v>
      </c>
      <c r="W13" s="76">
        <v>684</v>
      </c>
      <c r="X13" s="76">
        <v>697.32</v>
      </c>
      <c r="Y13" s="76">
        <v>707</v>
      </c>
      <c r="Z13" s="76">
        <v>749</v>
      </c>
      <c r="AA13" s="76">
        <v>763.84474517487797</v>
      </c>
      <c r="AB13" s="76">
        <f>[10]Montants!$E$9</f>
        <v>814.77460724881996</v>
      </c>
      <c r="AC13" s="76">
        <f>[19]Montants!$E$9</f>
        <v>838.47174418074599</v>
      </c>
      <c r="AE13" s="168">
        <f t="shared" si="0"/>
        <v>1.947368421052631E-2</v>
      </c>
      <c r="AF13" s="168">
        <f t="shared" si="1"/>
        <v>1.3881718579705105E-2</v>
      </c>
      <c r="AG13" s="168">
        <f t="shared" si="1"/>
        <v>5.9405940594059459E-2</v>
      </c>
      <c r="AH13" s="168">
        <f t="shared" si="1"/>
        <v>1.9819419459116139E-2</v>
      </c>
      <c r="AI13" s="168">
        <f t="shared" si="1"/>
        <v>6.6675672504995509E-2</v>
      </c>
      <c r="AJ13" s="168">
        <f t="shared" si="1"/>
        <v>2.9084285053927017E-2</v>
      </c>
    </row>
    <row r="14" spans="1:36" s="66" customFormat="1" ht="12.95" customHeight="1" thickBot="1" x14ac:dyDescent="0.3">
      <c r="A14" s="12"/>
      <c r="B14" s="305"/>
      <c r="C14" s="77" t="s">
        <v>41</v>
      </c>
      <c r="D14" s="69"/>
      <c r="E14" s="70">
        <v>801.81</v>
      </c>
      <c r="F14" s="70">
        <v>809</v>
      </c>
      <c r="G14" s="70">
        <v>828</v>
      </c>
      <c r="H14" s="70">
        <v>847</v>
      </c>
      <c r="I14" s="70">
        <v>866</v>
      </c>
      <c r="J14" s="70">
        <v>886</v>
      </c>
      <c r="K14" s="70">
        <v>898</v>
      </c>
      <c r="L14" s="70">
        <v>910</v>
      </c>
      <c r="M14" s="70">
        <v>933</v>
      </c>
      <c r="N14" s="70">
        <v>957</v>
      </c>
      <c r="O14" s="70">
        <v>975</v>
      </c>
      <c r="P14" s="70">
        <v>980</v>
      </c>
      <c r="Q14" s="70">
        <v>987</v>
      </c>
      <c r="R14" s="70">
        <v>992</v>
      </c>
      <c r="S14" s="70">
        <v>1004</v>
      </c>
      <c r="T14" s="70">
        <v>1008</v>
      </c>
      <c r="U14" s="70">
        <v>1016</v>
      </c>
      <c r="W14" s="298" t="s">
        <v>89</v>
      </c>
      <c r="X14" s="298"/>
      <c r="Y14" s="70">
        <f>[11]Montants!$E$14</f>
        <v>1047.2653440955462</v>
      </c>
      <c r="Z14" s="70">
        <v>1107</v>
      </c>
      <c r="AA14" s="70">
        <v>1127.5172528889643</v>
      </c>
      <c r="AB14" s="70">
        <f>[10]Montants!$E$13</f>
        <v>1201.95127253945</v>
      </c>
      <c r="AC14" s="70">
        <f>[19]Montants!$E$13</f>
        <v>1234.8629118633501</v>
      </c>
      <c r="AE14" s="154"/>
      <c r="AF14" s="154"/>
      <c r="AG14" s="154">
        <f t="shared" si="1"/>
        <v>5.7038702026412036E-2</v>
      </c>
      <c r="AH14" s="154">
        <f t="shared" si="1"/>
        <v>1.8534103784068945E-2</v>
      </c>
      <c r="AI14" s="154">
        <f t="shared" si="1"/>
        <v>6.6015858701734542E-2</v>
      </c>
      <c r="AJ14" s="154">
        <f t="shared" si="1"/>
        <v>2.7381841573631549E-2</v>
      </c>
    </row>
    <row r="15" spans="1:36" s="66" customFormat="1" ht="12.95" customHeight="1" thickBot="1" x14ac:dyDescent="0.3">
      <c r="A15" s="12"/>
      <c r="B15" s="305"/>
      <c r="C15" s="77" t="s">
        <v>110</v>
      </c>
      <c r="D15" s="69"/>
      <c r="E15" s="70">
        <v>269</v>
      </c>
      <c r="F15" s="70">
        <v>272</v>
      </c>
      <c r="G15" s="70">
        <v>275</v>
      </c>
      <c r="H15" s="70">
        <v>276</v>
      </c>
      <c r="I15" s="70">
        <v>278</v>
      </c>
      <c r="J15" s="70">
        <v>279</v>
      </c>
      <c r="K15" s="70">
        <v>279</v>
      </c>
      <c r="L15" s="70">
        <v>283</v>
      </c>
      <c r="M15" s="70">
        <v>287</v>
      </c>
      <c r="N15" s="70">
        <v>290</v>
      </c>
      <c r="O15" s="70">
        <v>293</v>
      </c>
      <c r="P15" s="70">
        <v>292</v>
      </c>
      <c r="Q15" s="70">
        <v>290</v>
      </c>
      <c r="R15" s="70">
        <v>288</v>
      </c>
      <c r="S15" s="70">
        <v>291</v>
      </c>
      <c r="T15" s="70">
        <v>288</v>
      </c>
      <c r="U15" s="70">
        <v>286</v>
      </c>
      <c r="W15" s="70">
        <v>300</v>
      </c>
      <c r="X15" s="70">
        <v>305</v>
      </c>
      <c r="Y15" s="70">
        <v>304</v>
      </c>
      <c r="Z15" s="70">
        <v>316</v>
      </c>
      <c r="AA15" s="70">
        <v>316.30134172806811</v>
      </c>
      <c r="AB15" s="70">
        <f>[10]Montants!$E$12</f>
        <v>330.37710294203799</v>
      </c>
      <c r="AC15" s="70">
        <f>[19]Montants!$E$12</f>
        <v>333.90258393976001</v>
      </c>
      <c r="AE15" s="154">
        <f t="shared" si="0"/>
        <v>1.6666666666666607E-2</v>
      </c>
      <c r="AF15" s="154">
        <f t="shared" si="1"/>
        <v>-3.2786885245901232E-3</v>
      </c>
      <c r="AG15" s="154">
        <f t="shared" si="1"/>
        <v>3.9473684210526327E-2</v>
      </c>
      <c r="AH15" s="154">
        <f t="shared" si="1"/>
        <v>9.5361306350660868E-4</v>
      </c>
      <c r="AI15" s="154">
        <f t="shared" si="1"/>
        <v>4.4501111304393826E-2</v>
      </c>
      <c r="AJ15" s="154">
        <f t="shared" si="1"/>
        <v>1.0671081519655123E-2</v>
      </c>
    </row>
    <row r="16" spans="1:36" s="66" customFormat="1" ht="35.1" customHeight="1" thickBot="1" x14ac:dyDescent="0.3">
      <c r="A16" s="12"/>
      <c r="B16" s="306"/>
      <c r="C16" s="78" t="s">
        <v>42</v>
      </c>
      <c r="D16" s="72"/>
      <c r="E16" s="73">
        <v>452.99768826067225</v>
      </c>
      <c r="F16" s="73">
        <v>464.09</v>
      </c>
      <c r="G16" s="73">
        <v>476.55</v>
      </c>
      <c r="H16" s="73">
        <v>489.7</v>
      </c>
      <c r="I16" s="73">
        <v>503.96</v>
      </c>
      <c r="J16" s="73">
        <v>519.26</v>
      </c>
      <c r="K16" s="73">
        <v>530.15</v>
      </c>
      <c r="L16" s="73">
        <v>541.11</v>
      </c>
      <c r="M16" s="73">
        <v>556.79999999999995</v>
      </c>
      <c r="N16" s="73">
        <v>572.64</v>
      </c>
      <c r="O16" s="73">
        <v>585</v>
      </c>
      <c r="P16" s="73">
        <v>591</v>
      </c>
      <c r="Q16" s="73">
        <v>596</v>
      </c>
      <c r="R16" s="73">
        <v>602</v>
      </c>
      <c r="S16" s="73">
        <v>614</v>
      </c>
      <c r="T16" s="73">
        <v>620</v>
      </c>
      <c r="U16" s="73">
        <v>628</v>
      </c>
      <c r="W16" s="73">
        <v>649</v>
      </c>
      <c r="X16" s="73">
        <v>664</v>
      </c>
      <c r="Y16" s="73">
        <v>674</v>
      </c>
      <c r="Z16" s="73">
        <v>715</v>
      </c>
      <c r="AA16" s="73">
        <v>729.45823321815931</v>
      </c>
      <c r="AB16" s="73">
        <f>[10]Montants!$E$8</f>
        <v>778.29270260511396</v>
      </c>
      <c r="AC16" s="73">
        <f>[19]Montants!$E$8</f>
        <v>801.40162472714098</v>
      </c>
      <c r="AE16" s="167">
        <f t="shared" si="0"/>
        <v>2.3112480739599484E-2</v>
      </c>
      <c r="AF16" s="167">
        <f t="shared" si="1"/>
        <v>1.5060240963855387E-2</v>
      </c>
      <c r="AG16" s="167">
        <f t="shared" si="1"/>
        <v>6.0830860534124565E-2</v>
      </c>
      <c r="AH16" s="167">
        <f t="shared" si="1"/>
        <v>2.0221305200222917E-2</v>
      </c>
      <c r="AI16" s="167">
        <f t="shared" si="1"/>
        <v>6.6946217292676247E-2</v>
      </c>
      <c r="AJ16" s="167">
        <f t="shared" si="1"/>
        <v>2.9691813946959078E-2</v>
      </c>
    </row>
    <row r="17" spans="1:36" s="66" customFormat="1" ht="12.95" customHeight="1" thickTop="1" thickBot="1" x14ac:dyDescent="0.3">
      <c r="A17" s="12"/>
      <c r="B17" s="307" t="s">
        <v>14</v>
      </c>
      <c r="C17" s="79" t="s">
        <v>40</v>
      </c>
      <c r="D17" s="80"/>
      <c r="E17" s="81">
        <v>538</v>
      </c>
      <c r="F17" s="81">
        <v>552</v>
      </c>
      <c r="G17" s="81">
        <v>566</v>
      </c>
      <c r="H17" s="81">
        <v>581</v>
      </c>
      <c r="I17" s="81">
        <v>596</v>
      </c>
      <c r="J17" s="81">
        <v>613</v>
      </c>
      <c r="K17" s="81">
        <v>623</v>
      </c>
      <c r="L17" s="81">
        <v>633</v>
      </c>
      <c r="M17" s="81">
        <v>649</v>
      </c>
      <c r="N17" s="81">
        <v>666</v>
      </c>
      <c r="O17" s="81">
        <v>677</v>
      </c>
      <c r="P17" s="81">
        <v>682</v>
      </c>
      <c r="Q17" s="81">
        <v>687</v>
      </c>
      <c r="R17" s="81">
        <v>691</v>
      </c>
      <c r="S17" s="81">
        <v>702</v>
      </c>
      <c r="T17" s="81">
        <v>709</v>
      </c>
      <c r="U17" s="81">
        <v>717</v>
      </c>
      <c r="W17" s="81">
        <v>755</v>
      </c>
      <c r="X17" s="81">
        <v>768.6</v>
      </c>
      <c r="Y17" s="81">
        <v>778</v>
      </c>
      <c r="Z17" s="81">
        <v>824</v>
      </c>
      <c r="AA17" s="81">
        <v>837.90272348611973</v>
      </c>
      <c r="AB17" s="81">
        <f>[10]Montants!$G$9</f>
        <v>891.26882974203897</v>
      </c>
      <c r="AC17" s="81">
        <f>[19]Montants!$G$9</f>
        <v>916.34698069077297</v>
      </c>
      <c r="AE17" s="169">
        <f t="shared" si="0"/>
        <v>1.8013245033112524E-2</v>
      </c>
      <c r="AF17" s="169">
        <f t="shared" si="1"/>
        <v>1.2230028623471112E-2</v>
      </c>
      <c r="AG17" s="169">
        <f t="shared" si="1"/>
        <v>5.9125964010282805E-2</v>
      </c>
      <c r="AH17" s="169">
        <f t="shared" si="1"/>
        <v>1.6872237240436627E-2</v>
      </c>
      <c r="AI17" s="169">
        <f t="shared" si="1"/>
        <v>6.3690097621222685E-2</v>
      </c>
      <c r="AJ17" s="169">
        <f t="shared" si="1"/>
        <v>2.8137583310293035E-2</v>
      </c>
    </row>
    <row r="18" spans="1:36" s="66" customFormat="1" ht="12.95" customHeight="1" thickBot="1" x14ac:dyDescent="0.3">
      <c r="A18" s="12"/>
      <c r="B18" s="308"/>
      <c r="C18" s="82" t="s">
        <v>41</v>
      </c>
      <c r="D18" s="83"/>
      <c r="E18" s="70">
        <v>880.11</v>
      </c>
      <c r="F18" s="84">
        <v>890</v>
      </c>
      <c r="G18" s="84">
        <v>910</v>
      </c>
      <c r="H18" s="84">
        <v>929</v>
      </c>
      <c r="I18" s="84">
        <v>948</v>
      </c>
      <c r="J18" s="84">
        <v>968</v>
      </c>
      <c r="K18" s="84">
        <v>980</v>
      </c>
      <c r="L18" s="84">
        <v>992</v>
      </c>
      <c r="M18" s="84">
        <v>1015</v>
      </c>
      <c r="N18" s="84">
        <v>1040</v>
      </c>
      <c r="O18" s="84">
        <v>1058</v>
      </c>
      <c r="P18" s="84">
        <v>1063</v>
      </c>
      <c r="Q18" s="84">
        <v>1069</v>
      </c>
      <c r="R18" s="84">
        <v>1074</v>
      </c>
      <c r="S18" s="84">
        <v>1086</v>
      </c>
      <c r="T18" s="84">
        <v>1091</v>
      </c>
      <c r="U18" s="84">
        <v>1099</v>
      </c>
      <c r="W18" s="298" t="s">
        <v>89</v>
      </c>
      <c r="X18" s="298"/>
      <c r="Y18" s="70">
        <f>[11]Montants!$G$14</f>
        <v>1132.7078649815367</v>
      </c>
      <c r="Z18" s="70">
        <v>1197</v>
      </c>
      <c r="AA18" s="70">
        <v>1214.8476850163277</v>
      </c>
      <c r="AB18" s="70">
        <f>[10]Montants!$G$13</f>
        <v>1290.6016441034001</v>
      </c>
      <c r="AC18" s="70">
        <f>[19]Montants!$G$13</f>
        <v>1325.78554497917</v>
      </c>
      <c r="AE18" s="154"/>
      <c r="AF18" s="154"/>
      <c r="AG18" s="154">
        <f t="shared" si="1"/>
        <v>5.675967917774738E-2</v>
      </c>
      <c r="AH18" s="154">
        <f t="shared" si="1"/>
        <v>1.4910346713723932E-2</v>
      </c>
      <c r="AI18" s="154">
        <f t="shared" si="1"/>
        <v>6.2356754695593208E-2</v>
      </c>
      <c r="AJ18" s="154">
        <f t="shared" si="1"/>
        <v>2.7261627192651572E-2</v>
      </c>
    </row>
    <row r="19" spans="1:36" s="66" customFormat="1" ht="12.95" customHeight="1" x14ac:dyDescent="0.25">
      <c r="A19" s="12"/>
      <c r="B19" s="308"/>
      <c r="C19" s="82" t="s">
        <v>110</v>
      </c>
      <c r="D19" s="83"/>
      <c r="E19" s="84">
        <v>267</v>
      </c>
      <c r="F19" s="84">
        <v>269</v>
      </c>
      <c r="G19" s="84">
        <v>272</v>
      </c>
      <c r="H19" s="84">
        <v>273</v>
      </c>
      <c r="I19" s="84">
        <v>275</v>
      </c>
      <c r="J19" s="84">
        <v>276</v>
      </c>
      <c r="K19" s="84">
        <v>276</v>
      </c>
      <c r="L19" s="84">
        <v>280</v>
      </c>
      <c r="M19" s="84">
        <v>283</v>
      </c>
      <c r="N19" s="84">
        <v>286</v>
      </c>
      <c r="O19" s="84">
        <v>290</v>
      </c>
      <c r="P19" s="84">
        <v>289</v>
      </c>
      <c r="Q19" s="84">
        <v>287</v>
      </c>
      <c r="R19" s="84">
        <v>285</v>
      </c>
      <c r="S19" s="84">
        <v>287</v>
      </c>
      <c r="T19" s="84">
        <v>284</v>
      </c>
      <c r="U19" s="84">
        <v>282</v>
      </c>
      <c r="W19" s="84">
        <v>296</v>
      </c>
      <c r="X19" s="84">
        <v>300</v>
      </c>
      <c r="Y19" s="84">
        <v>299</v>
      </c>
      <c r="Z19" s="84">
        <v>312</v>
      </c>
      <c r="AA19" s="84">
        <v>312.07297954592161</v>
      </c>
      <c r="AB19" s="84">
        <f>[10]Montants!$G$12</f>
        <v>326.15171072575703</v>
      </c>
      <c r="AC19" s="84">
        <f>[19]Montants!$G$12</f>
        <v>329.72120691757101</v>
      </c>
      <c r="AE19" s="170">
        <f t="shared" si="0"/>
        <v>1.3513513513513598E-2</v>
      </c>
      <c r="AF19" s="170">
        <f t="shared" si="1"/>
        <v>-3.3333333333332993E-3</v>
      </c>
      <c r="AG19" s="170">
        <f t="shared" si="1"/>
        <v>4.3478260869565188E-2</v>
      </c>
      <c r="AH19" s="170">
        <f t="shared" si="1"/>
        <v>2.3390880103080214E-4</v>
      </c>
      <c r="AI19" s="170">
        <f t="shared" si="1"/>
        <v>4.5113585932112787E-2</v>
      </c>
      <c r="AJ19" s="170">
        <f t="shared" si="1"/>
        <v>1.0944281677600642E-2</v>
      </c>
    </row>
    <row r="20" spans="1:36" s="66" customFormat="1" ht="35.1" customHeight="1" thickBot="1" x14ac:dyDescent="0.3">
      <c r="A20" s="43"/>
      <c r="B20" s="309"/>
      <c r="C20" s="85" t="s">
        <v>42</v>
      </c>
      <c r="D20" s="86"/>
      <c r="E20" s="87">
        <v>516.51094188504339</v>
      </c>
      <c r="F20" s="87">
        <v>529.96</v>
      </c>
      <c r="G20" s="87">
        <v>543.89</v>
      </c>
      <c r="H20" s="87">
        <v>557.76</v>
      </c>
      <c r="I20" s="87">
        <v>572.69000000000005</v>
      </c>
      <c r="J20" s="87">
        <v>588.69000000000005</v>
      </c>
      <c r="K20" s="87">
        <v>598.73</v>
      </c>
      <c r="L20" s="87">
        <v>608.83000000000004</v>
      </c>
      <c r="M20" s="87">
        <v>624.51</v>
      </c>
      <c r="N20" s="87">
        <v>641.24</v>
      </c>
      <c r="O20" s="87">
        <v>653</v>
      </c>
      <c r="P20" s="87">
        <v>658</v>
      </c>
      <c r="Q20" s="87">
        <v>663</v>
      </c>
      <c r="R20" s="87">
        <v>668</v>
      </c>
      <c r="S20" s="87">
        <v>680</v>
      </c>
      <c r="T20" s="87">
        <v>686</v>
      </c>
      <c r="U20" s="87">
        <v>694</v>
      </c>
      <c r="W20" s="87">
        <v>730</v>
      </c>
      <c r="X20" s="87">
        <v>746</v>
      </c>
      <c r="Y20" s="87">
        <v>755</v>
      </c>
      <c r="Z20" s="87">
        <v>800</v>
      </c>
      <c r="AA20" s="87">
        <v>814.24273818561619</v>
      </c>
      <c r="AB20" s="87">
        <f>[10]Montants!$G$8</f>
        <v>866.29100707523605</v>
      </c>
      <c r="AC20" s="87">
        <f>[19]Montants!$G$8</f>
        <v>891.00127441295399</v>
      </c>
      <c r="AE20" s="171">
        <f t="shared" si="0"/>
        <v>2.1917808219177992E-2</v>
      </c>
      <c r="AF20" s="171">
        <f t="shared" si="1"/>
        <v>1.2064343163538771E-2</v>
      </c>
      <c r="AG20" s="171">
        <f t="shared" si="1"/>
        <v>5.9602649006622599E-2</v>
      </c>
      <c r="AH20" s="171">
        <f t="shared" si="1"/>
        <v>1.7803422732020291E-2</v>
      </c>
      <c r="AI20" s="171">
        <f t="shared" si="1"/>
        <v>6.3922300376420216E-2</v>
      </c>
      <c r="AJ20" s="171">
        <f t="shared" si="1"/>
        <v>2.8524210843587694E-2</v>
      </c>
    </row>
    <row r="21" spans="1:36" s="156" customFormat="1" ht="12.75" thickTop="1" x14ac:dyDescent="0.2">
      <c r="A21" s="157"/>
      <c r="B21" s="155" t="s">
        <v>86</v>
      </c>
      <c r="AE21" s="155"/>
      <c r="AF21" s="155"/>
      <c r="AG21" s="155"/>
      <c r="AH21" s="155"/>
      <c r="AI21" s="155"/>
      <c r="AJ21" s="155"/>
    </row>
    <row r="22" spans="1:36" s="156" customFormat="1" ht="12" x14ac:dyDescent="0.2">
      <c r="A22" s="157"/>
      <c r="B22" s="155" t="s">
        <v>85</v>
      </c>
      <c r="AE22" s="155"/>
      <c r="AF22" s="155"/>
    </row>
    <row r="23" spans="1:36" s="156" customFormat="1" ht="12" x14ac:dyDescent="0.2">
      <c r="A23" s="157"/>
      <c r="B23" s="155" t="s">
        <v>117</v>
      </c>
      <c r="AE23" s="155"/>
      <c r="AF23" s="155"/>
    </row>
    <row r="24" spans="1:36" s="156" customFormat="1" ht="12" x14ac:dyDescent="0.2">
      <c r="A24" s="157"/>
      <c r="B24" s="155" t="s">
        <v>107</v>
      </c>
      <c r="AE24" s="155"/>
      <c r="AF24" s="155"/>
    </row>
    <row r="25" spans="1:36" s="156" customFormat="1" ht="12" x14ac:dyDescent="0.2">
      <c r="A25" s="157"/>
      <c r="B25" s="155" t="s">
        <v>108</v>
      </c>
      <c r="AE25" s="155"/>
      <c r="AF25" s="155"/>
    </row>
    <row r="26" spans="1:36" x14ac:dyDescent="0.2">
      <c r="A26" s="12"/>
      <c r="B26" s="63"/>
      <c r="D26" s="156"/>
      <c r="E26" s="156"/>
      <c r="F26" s="156"/>
      <c r="G26" s="156"/>
      <c r="H26" s="156"/>
      <c r="I26" s="156"/>
      <c r="J26" s="156"/>
      <c r="K26" s="156"/>
      <c r="L26" s="156"/>
      <c r="M26" s="156"/>
    </row>
    <row r="27" spans="1:36" ht="15.75" thickBot="1" x14ac:dyDescent="0.25">
      <c r="A27" s="43"/>
      <c r="B27" s="49" t="s">
        <v>34</v>
      </c>
      <c r="C27" s="2"/>
      <c r="D27" s="156"/>
      <c r="E27" s="156"/>
      <c r="F27" s="156"/>
      <c r="G27" s="156"/>
      <c r="H27" s="156"/>
      <c r="I27" s="156"/>
      <c r="J27" s="156"/>
      <c r="K27" s="156"/>
      <c r="L27" s="156"/>
      <c r="M27" s="156"/>
    </row>
    <row r="28" spans="1:36" ht="32.25" customHeight="1" thickBot="1" x14ac:dyDescent="0.25">
      <c r="A28" s="12"/>
      <c r="B28" s="299" t="s">
        <v>44</v>
      </c>
      <c r="C28" s="300"/>
      <c r="D28" s="301" t="s">
        <v>43</v>
      </c>
      <c r="E28" s="302"/>
      <c r="F28" s="302"/>
      <c r="G28" s="302"/>
      <c r="H28" s="302"/>
      <c r="I28" s="302"/>
      <c r="J28" s="302"/>
      <c r="K28" s="302"/>
      <c r="L28" s="302"/>
      <c r="M28" s="303"/>
    </row>
    <row r="29" spans="1:36" x14ac:dyDescent="0.2">
      <c r="A29" s="12"/>
      <c r="B29" s="63"/>
      <c r="D29" s="156"/>
      <c r="E29" s="156"/>
      <c r="F29" s="156"/>
      <c r="G29" s="156"/>
      <c r="H29" s="156"/>
      <c r="I29" s="156"/>
      <c r="J29" s="156"/>
      <c r="K29" s="156"/>
      <c r="L29" s="156"/>
      <c r="M29" s="156"/>
    </row>
    <row r="30" spans="1:36" x14ac:dyDescent="0.2">
      <c r="A30" s="12"/>
      <c r="B30" s="63"/>
      <c r="D30" s="156"/>
      <c r="E30" s="156"/>
      <c r="F30" s="156"/>
      <c r="G30" s="156"/>
      <c r="H30" s="156"/>
      <c r="I30" s="156"/>
      <c r="J30" s="156"/>
      <c r="K30" s="156"/>
      <c r="L30" s="156"/>
      <c r="M30" s="156"/>
    </row>
    <row r="31" spans="1:36" x14ac:dyDescent="0.2">
      <c r="A31" s="12"/>
      <c r="B31" s="63"/>
    </row>
    <row r="32" spans="1:36" x14ac:dyDescent="0.2">
      <c r="A32" s="12"/>
      <c r="B32" s="63"/>
    </row>
    <row r="33" spans="1:2" x14ac:dyDescent="0.2">
      <c r="A33" s="12"/>
      <c r="B33" s="63"/>
    </row>
    <row r="34" spans="1:2" ht="15" customHeight="1" x14ac:dyDescent="0.2">
      <c r="A34" s="12"/>
      <c r="B34" s="88"/>
    </row>
    <row r="35" spans="1:2" x14ac:dyDescent="0.2">
      <c r="A35" s="12"/>
      <c r="B35" s="88"/>
    </row>
    <row r="36" spans="1:2" x14ac:dyDescent="0.2">
      <c r="A36" s="12"/>
      <c r="B36" s="88"/>
    </row>
    <row r="37" spans="1:2" x14ac:dyDescent="0.2">
      <c r="A37" s="12"/>
      <c r="B37" s="88"/>
    </row>
    <row r="38" spans="1:2" x14ac:dyDescent="0.2">
      <c r="A38" s="12"/>
      <c r="B38" s="88"/>
    </row>
    <row r="39" spans="1:2" x14ac:dyDescent="0.2">
      <c r="A39" s="12"/>
      <c r="B39" s="88"/>
    </row>
    <row r="40" spans="1:2" ht="15" x14ac:dyDescent="0.2">
      <c r="A40" s="43"/>
      <c r="B40" s="88"/>
    </row>
    <row r="41" spans="1:2" x14ac:dyDescent="0.2">
      <c r="A41" s="12"/>
      <c r="B41" s="88"/>
    </row>
    <row r="42" spans="1:2" x14ac:dyDescent="0.2">
      <c r="A42" s="12"/>
      <c r="B42" s="88"/>
    </row>
    <row r="43" spans="1:2" x14ac:dyDescent="0.2">
      <c r="A43" s="12"/>
      <c r="B43" s="88"/>
    </row>
    <row r="44" spans="1:2" x14ac:dyDescent="0.2">
      <c r="A44" s="12"/>
      <c r="B44" s="88"/>
    </row>
    <row r="45" spans="1:2" x14ac:dyDescent="0.2">
      <c r="A45" s="12"/>
      <c r="B45" s="88"/>
    </row>
    <row r="46" spans="1:2" x14ac:dyDescent="0.2">
      <c r="A46" s="12"/>
      <c r="B46" s="88"/>
    </row>
    <row r="47" spans="1:2" x14ac:dyDescent="0.2">
      <c r="B47" s="88"/>
    </row>
  </sheetData>
  <mergeCells count="11">
    <mergeCell ref="B28:C28"/>
    <mergeCell ref="D28:M28"/>
    <mergeCell ref="B9:B12"/>
    <mergeCell ref="B13:B16"/>
    <mergeCell ref="B17:B20"/>
    <mergeCell ref="E6:U6"/>
    <mergeCell ref="W14:X14"/>
    <mergeCell ref="W18:X18"/>
    <mergeCell ref="W10:X10"/>
    <mergeCell ref="W6:AC6"/>
    <mergeCell ref="AE6:AJ6"/>
  </mergeCells>
  <phoneticPr fontId="3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6"/>
  <sheetViews>
    <sheetView topLeftCell="A4" zoomScaleNormal="100" workbookViewId="0">
      <pane xSplit="4" topLeftCell="U1" activePane="topRight" state="frozen"/>
      <selection activeCell="A2" sqref="A2"/>
      <selection pane="topRight" activeCell="AJ9" sqref="AJ9"/>
    </sheetView>
  </sheetViews>
  <sheetFormatPr baseColWidth="10" defaultColWidth="1" defaultRowHeight="14.25" x14ac:dyDescent="0.2"/>
  <cols>
    <col min="1" max="1" width="1" style="2" customWidth="1"/>
    <col min="2" max="2" width="4.28515625" style="1" customWidth="1"/>
    <col min="3" max="3" width="11.42578125" style="54" customWidth="1"/>
    <col min="4" max="4" width="48.7109375" style="54" customWidth="1"/>
    <col min="5" max="15" width="11.7109375" style="54" customWidth="1"/>
    <col min="16" max="21" width="11.42578125" style="54" customWidth="1"/>
    <col min="22" max="22" width="4.85546875" style="54" customWidth="1"/>
    <col min="23" max="23" width="11.42578125" style="54" customWidth="1"/>
    <col min="24" max="24" width="11.42578125" style="134" customWidth="1"/>
    <col min="25" max="30" width="11.42578125" style="54" customWidth="1"/>
    <col min="31" max="32" width="11.42578125" style="172" customWidth="1"/>
    <col min="33" max="257" width="11.42578125" style="54" customWidth="1"/>
    <col min="258" max="16384" width="1" style="54"/>
  </cols>
  <sheetData>
    <row r="1" spans="1:36" s="2" customFormat="1" ht="51" customHeight="1" x14ac:dyDescent="0.2">
      <c r="B1" s="1"/>
      <c r="X1" s="133"/>
      <c r="AE1" s="165"/>
      <c r="AF1" s="165"/>
    </row>
    <row r="2" spans="1:36" s="2" customFormat="1" ht="6.75" customHeight="1" x14ac:dyDescent="0.2">
      <c r="B2" s="1"/>
      <c r="X2" s="133"/>
      <c r="AE2" s="165"/>
      <c r="AF2" s="165"/>
    </row>
    <row r="3" spans="1:36" s="2" customFormat="1" ht="17.25" customHeight="1" x14ac:dyDescent="0.2">
      <c r="B3" s="1"/>
      <c r="C3" s="3" t="s">
        <v>45</v>
      </c>
      <c r="D3" s="4"/>
      <c r="E3" s="5"/>
      <c r="F3" s="6"/>
      <c r="X3" s="133"/>
      <c r="AE3" s="165"/>
      <c r="AF3" s="165"/>
    </row>
    <row r="4" spans="1:36" s="2" customFormat="1" ht="7.9" customHeight="1" x14ac:dyDescent="0.2">
      <c r="B4" s="1"/>
      <c r="C4" s="7"/>
      <c r="D4" s="8"/>
      <c r="E4" s="8"/>
      <c r="F4" s="8"/>
      <c r="G4" s="7"/>
      <c r="H4" s="7"/>
      <c r="X4" s="133"/>
      <c r="AE4" s="165"/>
      <c r="AF4" s="165"/>
    </row>
    <row r="5" spans="1:36" s="2" customFormat="1" ht="14.25" customHeight="1" thickBot="1" x14ac:dyDescent="0.25">
      <c r="B5" s="1"/>
      <c r="C5" s="48" t="s">
        <v>103</v>
      </c>
      <c r="D5" s="8"/>
      <c r="E5" s="8"/>
      <c r="F5" s="8"/>
      <c r="G5" s="7"/>
      <c r="H5" s="7"/>
      <c r="X5" s="133"/>
      <c r="AE5" s="165"/>
      <c r="AF5" s="165"/>
    </row>
    <row r="6" spans="1:36" s="2" customFormat="1" ht="30" customHeight="1" thickBot="1" x14ac:dyDescent="0.25">
      <c r="B6" s="1"/>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1:36" s="12" customFormat="1" ht="19.149999999999999" customHeight="1" thickBot="1" x14ac:dyDescent="0.3">
      <c r="B7" s="9"/>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1:36" ht="12.75" customHeight="1" thickBot="1" x14ac:dyDescent="0.25">
      <c r="AE8" s="181"/>
      <c r="AG8" s="172"/>
      <c r="AH8" s="172"/>
      <c r="AI8" s="172"/>
      <c r="AJ8" s="172"/>
    </row>
    <row r="9" spans="1:36" s="66" customFormat="1" ht="30" customHeight="1" thickTop="1" thickBot="1" x14ac:dyDescent="0.3">
      <c r="A9" s="12"/>
      <c r="B9" s="313" t="s">
        <v>2</v>
      </c>
      <c r="C9" s="179" t="s">
        <v>40</v>
      </c>
      <c r="D9" s="179"/>
      <c r="E9" s="180">
        <v>584.04999999999995</v>
      </c>
      <c r="F9" s="180">
        <v>588.97</v>
      </c>
      <c r="G9" s="180">
        <v>603.66999999999996</v>
      </c>
      <c r="H9" s="180">
        <v>618.01</v>
      </c>
      <c r="I9" s="180">
        <v>633.62</v>
      </c>
      <c r="J9" s="180">
        <v>650.30999999999995</v>
      </c>
      <c r="K9" s="180">
        <v>659.08</v>
      </c>
      <c r="L9" s="180">
        <v>668.28</v>
      </c>
      <c r="M9" s="180">
        <v>684.28</v>
      </c>
      <c r="N9" s="180">
        <v>702.33</v>
      </c>
      <c r="O9" s="180">
        <v>715.49</v>
      </c>
      <c r="P9" s="180">
        <v>719</v>
      </c>
      <c r="Q9" s="180">
        <v>724</v>
      </c>
      <c r="R9" s="180">
        <v>728</v>
      </c>
      <c r="S9" s="180">
        <v>742</v>
      </c>
      <c r="T9" s="180">
        <v>747</v>
      </c>
      <c r="U9" s="180">
        <v>753</v>
      </c>
      <c r="V9" s="64"/>
      <c r="W9" s="180">
        <v>807.95540125728257</v>
      </c>
      <c r="X9" s="180">
        <v>822</v>
      </c>
      <c r="Y9" s="180">
        <v>831.64825132072792</v>
      </c>
      <c r="Z9" s="180">
        <v>880</v>
      </c>
      <c r="AA9" s="180">
        <v>893</v>
      </c>
      <c r="AB9" s="180">
        <f>[10]Montants!$C$15</f>
        <v>946.79145806203098</v>
      </c>
      <c r="AC9" s="180">
        <f>[19]Montants!$C$15</f>
        <v>972.39579323918394</v>
      </c>
      <c r="AD9" s="64"/>
      <c r="AE9" s="182">
        <f>X9/W9-1</f>
        <v>1.7382888611007674E-2</v>
      </c>
      <c r="AF9" s="182">
        <f>Y9/X9-1</f>
        <v>1.1737532020350327E-2</v>
      </c>
      <c r="AG9" s="182">
        <f>Z9/Y9-1</f>
        <v>5.8139662534593795E-2</v>
      </c>
      <c r="AH9" s="182">
        <f>AA9/Z9-1</f>
        <v>1.4772727272727382E-2</v>
      </c>
      <c r="AI9" s="182">
        <f>AB9/AA9-1</f>
        <v>6.0236795142251998E-2</v>
      </c>
      <c r="AJ9" s="182">
        <f>AC9/AB9-1</f>
        <v>2.7043268038731583E-2</v>
      </c>
    </row>
    <row r="10" spans="1:36" s="66" customFormat="1" ht="30" customHeight="1" thickBot="1" x14ac:dyDescent="0.3">
      <c r="A10" s="12"/>
      <c r="B10" s="314"/>
      <c r="C10" s="69" t="s">
        <v>41</v>
      </c>
      <c r="D10" s="69"/>
      <c r="E10" s="91">
        <v>924.66</v>
      </c>
      <c r="F10" s="91">
        <v>935.4</v>
      </c>
      <c r="G10" s="91">
        <v>956.19</v>
      </c>
      <c r="H10" s="91">
        <v>975.81</v>
      </c>
      <c r="I10" s="91">
        <v>996.27</v>
      </c>
      <c r="J10" s="91">
        <v>1018.35</v>
      </c>
      <c r="K10" s="91">
        <v>1031.94</v>
      </c>
      <c r="L10" s="91">
        <v>1045.04</v>
      </c>
      <c r="M10" s="91">
        <v>1070.6400000000001</v>
      </c>
      <c r="N10" s="91">
        <v>1097.68</v>
      </c>
      <c r="O10" s="91">
        <v>1116.83</v>
      </c>
      <c r="P10" s="91">
        <v>1123</v>
      </c>
      <c r="Q10" s="91">
        <v>1130</v>
      </c>
      <c r="R10" s="91">
        <v>1136</v>
      </c>
      <c r="S10" s="91">
        <v>1151</v>
      </c>
      <c r="T10" s="91">
        <v>1157</v>
      </c>
      <c r="U10" s="91">
        <v>1166</v>
      </c>
      <c r="W10" s="298" t="s">
        <v>89</v>
      </c>
      <c r="X10" s="298"/>
      <c r="Y10" s="91">
        <v>1198.0714227405829</v>
      </c>
      <c r="Z10" s="91">
        <v>1267</v>
      </c>
      <c r="AA10" s="91">
        <v>1284</v>
      </c>
      <c r="AB10" s="91">
        <f>[10]Montants!$C$19</f>
        <v>1361.8406956557701</v>
      </c>
      <c r="AC10" s="91">
        <f>[19]Montants!$C$19</f>
        <v>1400.3643643606499</v>
      </c>
      <c r="AE10" s="154"/>
      <c r="AF10" s="154"/>
      <c r="AG10" s="154">
        <f t="shared" ref="AG10:AJ14" si="0">Z10/Y10-1</f>
        <v>5.7532944990661194E-2</v>
      </c>
      <c r="AH10" s="154">
        <f t="shared" si="0"/>
        <v>1.3417521704814472E-2</v>
      </c>
      <c r="AI10" s="154">
        <f t="shared" si="0"/>
        <v>6.0623594747484466E-2</v>
      </c>
      <c r="AJ10" s="154">
        <f t="shared" si="0"/>
        <v>2.8287940599637684E-2</v>
      </c>
    </row>
    <row r="11" spans="1:36" s="66" customFormat="1" ht="30" customHeight="1" thickTop="1" thickBot="1" x14ac:dyDescent="0.3">
      <c r="A11" s="12"/>
      <c r="B11" s="313" t="s">
        <v>11</v>
      </c>
      <c r="C11" s="179" t="s">
        <v>40</v>
      </c>
      <c r="D11" s="179"/>
      <c r="E11" s="180">
        <v>404.2</v>
      </c>
      <c r="F11" s="180">
        <v>411.01</v>
      </c>
      <c r="G11" s="180">
        <v>423.3</v>
      </c>
      <c r="H11" s="180">
        <v>436.38</v>
      </c>
      <c r="I11" s="180">
        <v>450.27</v>
      </c>
      <c r="J11" s="180">
        <v>465.3</v>
      </c>
      <c r="K11" s="180">
        <v>474.58</v>
      </c>
      <c r="L11" s="180">
        <v>484.05</v>
      </c>
      <c r="M11" s="180">
        <v>497.7</v>
      </c>
      <c r="N11" s="180">
        <v>511.75</v>
      </c>
      <c r="O11" s="180">
        <v>523.16999999999996</v>
      </c>
      <c r="P11" s="180">
        <v>528</v>
      </c>
      <c r="Q11" s="180">
        <v>533</v>
      </c>
      <c r="R11" s="180">
        <v>538</v>
      </c>
      <c r="S11" s="180">
        <v>549</v>
      </c>
      <c r="T11" s="180">
        <v>555</v>
      </c>
      <c r="U11" s="180">
        <v>562</v>
      </c>
      <c r="V11" s="64"/>
      <c r="W11" s="180">
        <v>574.72480194386253</v>
      </c>
      <c r="X11" s="180">
        <v>586</v>
      </c>
      <c r="Y11" s="180">
        <v>595.26752751847425</v>
      </c>
      <c r="Z11" s="180">
        <v>632</v>
      </c>
      <c r="AA11" s="180">
        <v>646</v>
      </c>
      <c r="AB11" s="180">
        <f>[10]Montants!$E$15</f>
        <v>690.187615677449</v>
      </c>
      <c r="AC11" s="180">
        <f>[19]Montants!$E$15</f>
        <v>711.440724571185</v>
      </c>
      <c r="AD11" s="64"/>
      <c r="AE11" s="182">
        <f>X11/W11-1</f>
        <v>1.9618429582300756E-2</v>
      </c>
      <c r="AF11" s="182">
        <f>Y11/X11-1</f>
        <v>1.5814893376235872E-2</v>
      </c>
      <c r="AG11" s="182">
        <f t="shared" si="0"/>
        <v>6.17075025655347E-2</v>
      </c>
      <c r="AH11" s="182">
        <f t="shared" si="0"/>
        <v>2.2151898734177111E-2</v>
      </c>
      <c r="AI11" s="182">
        <f t="shared" si="0"/>
        <v>6.840188185363627E-2</v>
      </c>
      <c r="AJ11" s="182">
        <f t="shared" si="0"/>
        <v>3.0793234203246644E-2</v>
      </c>
    </row>
    <row r="12" spans="1:36" s="66" customFormat="1" ht="30" customHeight="1" thickBot="1" x14ac:dyDescent="0.3">
      <c r="A12" s="12"/>
      <c r="B12" s="314"/>
      <c r="C12" s="69" t="s">
        <v>41</v>
      </c>
      <c r="D12" s="69"/>
      <c r="E12" s="91">
        <v>763.87</v>
      </c>
      <c r="F12" s="91">
        <v>769.05</v>
      </c>
      <c r="G12" s="91">
        <v>786.12</v>
      </c>
      <c r="H12" s="91">
        <v>802.7</v>
      </c>
      <c r="I12" s="91">
        <v>819.84</v>
      </c>
      <c r="J12" s="91">
        <v>838.55</v>
      </c>
      <c r="K12" s="91">
        <v>848.81</v>
      </c>
      <c r="L12" s="91">
        <v>858.95</v>
      </c>
      <c r="M12" s="91">
        <v>879.46</v>
      </c>
      <c r="N12" s="91">
        <v>901.05</v>
      </c>
      <c r="O12" s="91">
        <v>916.45</v>
      </c>
      <c r="P12" s="91">
        <v>921</v>
      </c>
      <c r="Q12" s="91">
        <v>927</v>
      </c>
      <c r="R12" s="91">
        <v>931</v>
      </c>
      <c r="S12" s="91">
        <v>942</v>
      </c>
      <c r="T12" s="91">
        <v>946</v>
      </c>
      <c r="U12" s="91">
        <v>953</v>
      </c>
      <c r="W12" s="298" t="s">
        <v>89</v>
      </c>
      <c r="X12" s="298"/>
      <c r="Y12" s="91">
        <v>979.11818981367151</v>
      </c>
      <c r="Z12" s="91">
        <v>1035</v>
      </c>
      <c r="AA12" s="91">
        <v>1053</v>
      </c>
      <c r="AB12" s="91">
        <f>[10]Montants!$E$19</f>
        <v>1122.5786491968099</v>
      </c>
      <c r="AC12" s="91">
        <f>[19]Montants!$E$19</f>
        <v>1153.12148618129</v>
      </c>
      <c r="AE12" s="154"/>
      <c r="AF12" s="154"/>
      <c r="AG12" s="154">
        <f t="shared" si="0"/>
        <v>5.7073610487170079E-2</v>
      </c>
      <c r="AH12" s="154">
        <f t="shared" si="0"/>
        <v>1.7391304347825987E-2</v>
      </c>
      <c r="AI12" s="154">
        <f t="shared" si="0"/>
        <v>6.6076589930493812E-2</v>
      </c>
      <c r="AJ12" s="154">
        <f t="shared" si="0"/>
        <v>2.7207747988377662E-2</v>
      </c>
    </row>
    <row r="13" spans="1:36" s="66" customFormat="1" ht="30" customHeight="1" thickTop="1" thickBot="1" x14ac:dyDescent="0.3">
      <c r="A13" s="12"/>
      <c r="B13" s="316" t="s">
        <v>14</v>
      </c>
      <c r="C13" s="179" t="s">
        <v>40</v>
      </c>
      <c r="D13" s="179"/>
      <c r="E13" s="180">
        <v>490.39</v>
      </c>
      <c r="F13" s="180">
        <v>497.34</v>
      </c>
      <c r="G13" s="180">
        <v>511.05</v>
      </c>
      <c r="H13" s="180">
        <v>524.9</v>
      </c>
      <c r="I13" s="180">
        <v>539.59</v>
      </c>
      <c r="J13" s="180">
        <v>555.36</v>
      </c>
      <c r="K13" s="180">
        <v>563.84</v>
      </c>
      <c r="L13" s="180">
        <v>572.75</v>
      </c>
      <c r="M13" s="180">
        <v>587</v>
      </c>
      <c r="N13" s="180">
        <v>602.55999999999995</v>
      </c>
      <c r="O13" s="180">
        <v>614.55999999999995</v>
      </c>
      <c r="P13" s="180">
        <v>618</v>
      </c>
      <c r="Q13" s="180">
        <v>623</v>
      </c>
      <c r="R13" s="180">
        <v>628</v>
      </c>
      <c r="S13" s="180">
        <v>639</v>
      </c>
      <c r="T13" s="180">
        <v>645</v>
      </c>
      <c r="U13" s="180">
        <v>651</v>
      </c>
      <c r="V13" s="64"/>
      <c r="W13" s="180">
        <v>683.51445981540633</v>
      </c>
      <c r="X13" s="180">
        <v>696</v>
      </c>
      <c r="Y13" s="180">
        <v>704.44444191136938</v>
      </c>
      <c r="Z13" s="180">
        <v>746</v>
      </c>
      <c r="AA13" s="180">
        <v>759</v>
      </c>
      <c r="AB13" s="180">
        <f>[10]Montants!$G$15</f>
        <v>807.83771422602501</v>
      </c>
      <c r="AC13" s="180">
        <f>[19]Montants!$G$15</f>
        <v>830.84926815414599</v>
      </c>
      <c r="AD13" s="64"/>
      <c r="AE13" s="182">
        <f>X13/W13-1</f>
        <v>1.8266680397610813E-2</v>
      </c>
      <c r="AF13" s="182">
        <f>Y13/X13-1</f>
        <v>1.2132818838174408E-2</v>
      </c>
      <c r="AG13" s="182">
        <f t="shared" si="0"/>
        <v>5.8990540085571475E-2</v>
      </c>
      <c r="AH13" s="182">
        <f t="shared" si="0"/>
        <v>1.7426273458444941E-2</v>
      </c>
      <c r="AI13" s="182">
        <f t="shared" si="0"/>
        <v>6.4344814527042216E-2</v>
      </c>
      <c r="AJ13" s="182">
        <f t="shared" si="0"/>
        <v>2.8485367200475231E-2</v>
      </c>
    </row>
    <row r="14" spans="1:36" s="66" customFormat="1" ht="39.75" customHeight="1" thickBot="1" x14ac:dyDescent="0.3">
      <c r="A14" s="12"/>
      <c r="B14" s="317"/>
      <c r="C14" s="177" t="s">
        <v>41</v>
      </c>
      <c r="D14" s="176"/>
      <c r="E14" s="178">
        <v>861.87</v>
      </c>
      <c r="F14" s="178">
        <v>870.76</v>
      </c>
      <c r="G14" s="178">
        <v>889.61</v>
      </c>
      <c r="H14" s="178">
        <v>907.07</v>
      </c>
      <c r="I14" s="178">
        <v>924.98</v>
      </c>
      <c r="J14" s="178">
        <v>944.44</v>
      </c>
      <c r="K14" s="178">
        <v>955.01</v>
      </c>
      <c r="L14" s="178">
        <v>965.28</v>
      </c>
      <c r="M14" s="178">
        <v>987.39</v>
      </c>
      <c r="N14" s="178">
        <v>1011.03</v>
      </c>
      <c r="O14" s="178">
        <v>1027.4000000000001</v>
      </c>
      <c r="P14" s="178">
        <v>1032</v>
      </c>
      <c r="Q14" s="178">
        <v>1037</v>
      </c>
      <c r="R14" s="178">
        <v>1041</v>
      </c>
      <c r="S14" s="178">
        <v>1053</v>
      </c>
      <c r="T14" s="178">
        <v>1057</v>
      </c>
      <c r="U14" s="178">
        <v>1064</v>
      </c>
      <c r="W14" s="315" t="s">
        <v>89</v>
      </c>
      <c r="X14" s="315"/>
      <c r="Y14" s="178">
        <v>1095.9839515338058</v>
      </c>
      <c r="Z14" s="178">
        <v>1158</v>
      </c>
      <c r="AA14" s="178">
        <v>1174</v>
      </c>
      <c r="AB14" s="178">
        <f>[10]Montants!$G$19</f>
        <v>1246.7175690480999</v>
      </c>
      <c r="AC14" s="178">
        <f>[19]Montants!$G$19</f>
        <v>1280.3703123299599</v>
      </c>
      <c r="AE14" s="183"/>
      <c r="AF14" s="183"/>
      <c r="AG14" s="183">
        <f t="shared" si="0"/>
        <v>5.6584814384739834E-2</v>
      </c>
      <c r="AH14" s="183">
        <f t="shared" si="0"/>
        <v>1.3816925734024155E-2</v>
      </c>
      <c r="AI14" s="183">
        <f t="shared" si="0"/>
        <v>6.1940007707069755E-2</v>
      </c>
      <c r="AJ14" s="183">
        <f t="shared" si="0"/>
        <v>2.6993076954513917E-2</v>
      </c>
    </row>
    <row r="15" spans="1:36" s="66" customFormat="1" ht="13.9" customHeight="1" thickTop="1" x14ac:dyDescent="0.2">
      <c r="A15" s="12"/>
      <c r="B15" s="155" t="s">
        <v>86</v>
      </c>
      <c r="C15" s="174"/>
      <c r="D15" s="174"/>
      <c r="E15" s="175"/>
      <c r="F15" s="175"/>
      <c r="G15" s="175"/>
      <c r="H15" s="175"/>
      <c r="I15" s="175"/>
      <c r="J15" s="175"/>
      <c r="K15" s="175"/>
      <c r="L15" s="175"/>
      <c r="M15" s="175"/>
      <c r="N15" s="175"/>
      <c r="O15" s="175"/>
      <c r="P15" s="175"/>
      <c r="Q15" s="175"/>
      <c r="R15" s="175"/>
      <c r="S15" s="175"/>
      <c r="T15" s="175"/>
      <c r="U15" s="175"/>
      <c r="W15" s="175"/>
      <c r="X15" s="175"/>
      <c r="Y15" s="175"/>
      <c r="Z15" s="175"/>
      <c r="AA15" s="175"/>
      <c r="AB15" s="175"/>
      <c r="AC15" s="175"/>
      <c r="AE15" s="184"/>
      <c r="AF15" s="184"/>
      <c r="AG15" s="184"/>
      <c r="AH15" s="184"/>
      <c r="AI15" s="184"/>
      <c r="AJ15" s="184"/>
    </row>
    <row r="16" spans="1:36" s="66" customFormat="1" ht="13.9" customHeight="1" x14ac:dyDescent="0.2">
      <c r="A16" s="12"/>
      <c r="B16" s="155" t="s">
        <v>85</v>
      </c>
      <c r="C16" s="174"/>
      <c r="D16" s="174"/>
      <c r="E16" s="175"/>
      <c r="F16" s="175"/>
      <c r="G16" s="175"/>
      <c r="H16" s="175"/>
      <c r="I16" s="175"/>
      <c r="J16" s="175"/>
      <c r="K16" s="175"/>
      <c r="L16" s="175"/>
      <c r="M16" s="175"/>
      <c r="N16" s="175"/>
      <c r="O16" s="175"/>
      <c r="P16" s="175"/>
      <c r="Q16" s="175"/>
      <c r="R16" s="175"/>
      <c r="S16" s="175"/>
      <c r="T16" s="175"/>
      <c r="U16" s="175"/>
      <c r="W16" s="175"/>
      <c r="X16" s="175"/>
      <c r="Y16" s="175"/>
      <c r="Z16" s="175"/>
      <c r="AA16" s="175"/>
      <c r="AB16" s="175"/>
      <c r="AC16" s="175"/>
      <c r="AE16" s="184"/>
      <c r="AF16" s="184"/>
    </row>
    <row r="17" spans="1:32" s="156" customFormat="1" ht="12" x14ac:dyDescent="0.2">
      <c r="A17" s="157"/>
      <c r="B17" s="155" t="s">
        <v>118</v>
      </c>
      <c r="X17" s="164"/>
      <c r="AE17" s="155"/>
      <c r="AF17" s="155"/>
    </row>
    <row r="18" spans="1:32" s="156" customFormat="1" ht="12" x14ac:dyDescent="0.2">
      <c r="A18" s="157"/>
      <c r="B18" s="155" t="s">
        <v>107</v>
      </c>
      <c r="X18" s="164"/>
      <c r="AE18" s="155"/>
      <c r="AF18" s="155"/>
    </row>
    <row r="19" spans="1:32" s="156" customFormat="1" ht="12" x14ac:dyDescent="0.2">
      <c r="A19" s="157"/>
      <c r="B19" s="155" t="s">
        <v>108</v>
      </c>
      <c r="L19" s="185"/>
      <c r="M19" s="185"/>
      <c r="N19" s="185"/>
      <c r="O19" s="185"/>
      <c r="P19" s="185"/>
      <c r="Q19" s="185"/>
      <c r="R19" s="185"/>
      <c r="S19" s="185"/>
      <c r="T19" s="185"/>
      <c r="U19" s="185"/>
      <c r="V19" s="185"/>
      <c r="W19" s="185"/>
      <c r="X19" s="185"/>
      <c r="Y19" s="185"/>
      <c r="Z19" s="185"/>
      <c r="AA19" s="185"/>
      <c r="AB19" s="185"/>
      <c r="AC19" s="185"/>
      <c r="AE19" s="155"/>
      <c r="AF19" s="155"/>
    </row>
    <row r="20" spans="1:32" s="156" customFormat="1" ht="12" x14ac:dyDescent="0.2">
      <c r="A20" s="157"/>
      <c r="B20" s="63"/>
      <c r="X20" s="164"/>
      <c r="AE20" s="155"/>
      <c r="AF20" s="155"/>
    </row>
    <row r="21" spans="1:32" x14ac:dyDescent="0.2">
      <c r="A21" s="12"/>
      <c r="B21" s="63"/>
    </row>
    <row r="22" spans="1:32" ht="15" x14ac:dyDescent="0.2">
      <c r="A22" s="43"/>
      <c r="B22" s="63"/>
    </row>
    <row r="23" spans="1:32" ht="27" customHeight="1" thickBot="1" x14ac:dyDescent="0.25">
      <c r="A23" s="12"/>
      <c r="B23" s="63"/>
      <c r="C23" s="49" t="s">
        <v>33</v>
      </c>
    </row>
    <row r="24" spans="1:32" ht="15" thickBot="1" x14ac:dyDescent="0.25">
      <c r="A24" s="12"/>
      <c r="B24" s="63"/>
      <c r="C24" s="318" t="s">
        <v>46</v>
      </c>
      <c r="D24" s="319"/>
      <c r="E24" s="320" t="s">
        <v>47</v>
      </c>
      <c r="F24" s="321"/>
      <c r="G24" s="321"/>
      <c r="H24" s="321"/>
      <c r="I24" s="321"/>
      <c r="J24" s="322"/>
    </row>
    <row r="25" spans="1:32" ht="59.45" customHeight="1" thickBot="1" x14ac:dyDescent="0.25">
      <c r="A25" s="43"/>
      <c r="B25" s="63"/>
      <c r="C25" s="323" t="s">
        <v>48</v>
      </c>
      <c r="D25" s="324"/>
      <c r="E25" s="325" t="s">
        <v>49</v>
      </c>
      <c r="F25" s="326"/>
      <c r="G25" s="326"/>
      <c r="H25" s="326"/>
      <c r="I25" s="326"/>
      <c r="J25" s="327"/>
    </row>
    <row r="26" spans="1:32" ht="115.5" customHeight="1" thickBot="1" x14ac:dyDescent="0.25">
      <c r="A26" s="12"/>
      <c r="B26" s="63"/>
      <c r="C26" s="299" t="s">
        <v>50</v>
      </c>
      <c r="D26" s="300"/>
      <c r="E26" s="310" t="s">
        <v>51</v>
      </c>
      <c r="F26" s="311"/>
      <c r="G26" s="311"/>
      <c r="H26" s="311"/>
      <c r="I26" s="311"/>
      <c r="J26" s="312"/>
    </row>
    <row r="27" spans="1:32" x14ac:dyDescent="0.2">
      <c r="A27" s="12"/>
      <c r="B27" s="63"/>
    </row>
    <row r="28" spans="1:32" x14ac:dyDescent="0.2">
      <c r="A28" s="12"/>
      <c r="B28" s="63"/>
    </row>
    <row r="29" spans="1:32" x14ac:dyDescent="0.2">
      <c r="A29" s="12"/>
      <c r="B29" s="63"/>
    </row>
    <row r="30" spans="1:32" x14ac:dyDescent="0.2">
      <c r="A30" s="12"/>
      <c r="B30" s="63"/>
    </row>
    <row r="31" spans="1:32" x14ac:dyDescent="0.2">
      <c r="A31" s="12"/>
      <c r="B31" s="63"/>
    </row>
    <row r="32" spans="1:32" x14ac:dyDescent="0.2">
      <c r="A32" s="12"/>
      <c r="B32" s="88"/>
    </row>
    <row r="33" spans="1:2" x14ac:dyDescent="0.2">
      <c r="A33" s="12"/>
      <c r="B33" s="88"/>
    </row>
    <row r="34" spans="1:2" ht="15" customHeight="1" x14ac:dyDescent="0.2">
      <c r="A34" s="12"/>
      <c r="B34" s="88"/>
    </row>
    <row r="35" spans="1:2" x14ac:dyDescent="0.2">
      <c r="A35" s="12"/>
      <c r="B35" s="88"/>
    </row>
    <row r="36" spans="1:2" x14ac:dyDescent="0.2">
      <c r="A36" s="12"/>
      <c r="B36" s="88"/>
    </row>
    <row r="37" spans="1:2" x14ac:dyDescent="0.2">
      <c r="A37" s="12"/>
      <c r="B37" s="88"/>
    </row>
    <row r="38" spans="1:2" x14ac:dyDescent="0.2">
      <c r="A38" s="12"/>
      <c r="B38" s="88"/>
    </row>
    <row r="39" spans="1:2" x14ac:dyDescent="0.2">
      <c r="A39" s="12"/>
      <c r="B39" s="88"/>
    </row>
    <row r="40" spans="1:2" ht="15" x14ac:dyDescent="0.2">
      <c r="A40" s="43"/>
      <c r="B40" s="88"/>
    </row>
    <row r="41" spans="1:2" x14ac:dyDescent="0.2">
      <c r="A41" s="12"/>
      <c r="B41" s="88"/>
    </row>
    <row r="42" spans="1:2" x14ac:dyDescent="0.2">
      <c r="A42" s="12"/>
      <c r="B42" s="88"/>
    </row>
    <row r="43" spans="1:2" x14ac:dyDescent="0.2">
      <c r="A43" s="12"/>
      <c r="B43" s="88"/>
    </row>
    <row r="44" spans="1:2" x14ac:dyDescent="0.2">
      <c r="A44" s="12"/>
      <c r="B44" s="88"/>
    </row>
    <row r="45" spans="1:2" x14ac:dyDescent="0.2">
      <c r="A45" s="12"/>
      <c r="B45" s="88"/>
    </row>
    <row r="46" spans="1:2" x14ac:dyDescent="0.2">
      <c r="A46" s="12"/>
    </row>
  </sheetData>
  <mergeCells count="15">
    <mergeCell ref="AE6:AJ6"/>
    <mergeCell ref="C26:D26"/>
    <mergeCell ref="E26:J26"/>
    <mergeCell ref="E6:U6"/>
    <mergeCell ref="B9:B10"/>
    <mergeCell ref="W10:X10"/>
    <mergeCell ref="W12:X12"/>
    <mergeCell ref="W14:X14"/>
    <mergeCell ref="B11:B12"/>
    <mergeCell ref="B13:B14"/>
    <mergeCell ref="C24:D24"/>
    <mergeCell ref="E24:J24"/>
    <mergeCell ref="C25:D25"/>
    <mergeCell ref="E25:J25"/>
    <mergeCell ref="W6:AC6"/>
  </mergeCells>
  <phoneticPr fontId="30" type="noConversion"/>
  <pageMargins left="0.7" right="0.7" top="0.75" bottom="0.75" header="0.3" footer="0.3"/>
  <pageSetup paperSize="9" orientation="portrait" verticalDpi="0" r:id="rId1"/>
  <ignoredErrors>
    <ignoredError sqref="AB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J30"/>
  <sheetViews>
    <sheetView topLeftCell="A6" workbookViewId="0">
      <pane xSplit="4" topLeftCell="AB1" activePane="topRight" state="frozen"/>
      <selection pane="topRight" activeCell="AC19" sqref="AC19"/>
    </sheetView>
  </sheetViews>
  <sheetFormatPr baseColWidth="10" defaultColWidth="1.5703125" defaultRowHeight="11.25" x14ac:dyDescent="0.2"/>
  <cols>
    <col min="1" max="1" width="1.5703125" style="54" customWidth="1"/>
    <col min="2" max="2" width="4.140625" style="54" customWidth="1"/>
    <col min="3" max="3" width="12.85546875" style="54" customWidth="1"/>
    <col min="4" max="4" width="43.140625" style="54" customWidth="1"/>
    <col min="5" max="21" width="11.42578125" style="54" customWidth="1"/>
    <col min="22" max="22" width="5.85546875" style="54" customWidth="1"/>
    <col min="23" max="258" width="11.42578125" style="54" customWidth="1"/>
    <col min="259" max="16384" width="1.5703125" style="54"/>
  </cols>
  <sheetData>
    <row r="1" spans="2:36" s="2" customFormat="1" ht="41.25" customHeight="1" x14ac:dyDescent="0.2"/>
    <row r="2" spans="2:36" s="2" customFormat="1" ht="14.25" x14ac:dyDescent="0.2"/>
    <row r="3" spans="2:36" s="2" customFormat="1" ht="17.25" customHeight="1" x14ac:dyDescent="0.2">
      <c r="C3" s="328" t="s">
        <v>56</v>
      </c>
      <c r="D3" s="328"/>
      <c r="E3" s="6"/>
    </row>
    <row r="4" spans="2:36" s="2" customFormat="1" ht="14.25" x14ac:dyDescent="0.2">
      <c r="B4" s="7"/>
      <c r="C4" s="8"/>
      <c r="D4" s="8"/>
      <c r="E4" s="8"/>
      <c r="F4" s="7"/>
      <c r="G4" s="7"/>
    </row>
    <row r="5" spans="2:36" s="2" customFormat="1" ht="16.5" thickBot="1" x14ac:dyDescent="0.25">
      <c r="B5" s="7"/>
      <c r="C5" s="48" t="s">
        <v>103</v>
      </c>
      <c r="D5" s="8"/>
      <c r="E5" s="8"/>
      <c r="F5" s="7"/>
      <c r="G5" s="7"/>
    </row>
    <row r="6" spans="2:36" s="2" customFormat="1" ht="30" customHeight="1" thickBot="1" x14ac:dyDescent="0.25">
      <c r="B6" s="7"/>
      <c r="C6" s="8"/>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2:36" s="12" customFormat="1" ht="19.149999999999999" customHeight="1" thickBot="1" x14ac:dyDescent="0.3">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2:36" ht="12.75" customHeight="1" thickBot="1" x14ac:dyDescent="0.25">
      <c r="C8" s="98"/>
      <c r="D8" s="99"/>
      <c r="AE8" s="186"/>
      <c r="AF8" s="186"/>
      <c r="AG8" s="186"/>
      <c r="AH8" s="186"/>
      <c r="AI8" s="186"/>
      <c r="AJ8" s="186"/>
    </row>
    <row r="9" spans="2:36" s="66" customFormat="1" ht="12.75" customHeight="1" thickTop="1" thickBot="1" x14ac:dyDescent="0.3">
      <c r="B9" s="330" t="s">
        <v>2</v>
      </c>
      <c r="C9" s="100" t="s">
        <v>111</v>
      </c>
      <c r="D9" s="67"/>
      <c r="E9" s="101">
        <v>19514</v>
      </c>
      <c r="F9" s="101">
        <v>20710</v>
      </c>
      <c r="G9" s="101">
        <v>23042</v>
      </c>
      <c r="H9" s="101">
        <v>24990</v>
      </c>
      <c r="I9" s="101">
        <v>26436</v>
      </c>
      <c r="J9" s="101">
        <v>27485</v>
      </c>
      <c r="K9" s="101">
        <v>28686</v>
      </c>
      <c r="L9" s="101">
        <v>29382</v>
      </c>
      <c r="M9" s="101">
        <v>30350</v>
      </c>
      <c r="N9" s="101">
        <v>31263</v>
      </c>
      <c r="O9" s="101">
        <v>31461</v>
      </c>
      <c r="P9" s="101">
        <v>31451</v>
      </c>
      <c r="Q9" s="101">
        <f>'[8]Retraités en paiement au 31-12'!Q14</f>
        <v>31878</v>
      </c>
      <c r="R9" s="101">
        <f>'[8]Retraités en paiement au 31-12'!R14</f>
        <v>32021</v>
      </c>
      <c r="S9" s="101">
        <f>'[8]Retraités en paiement au 31-12'!S14</f>
        <v>31961</v>
      </c>
      <c r="T9" s="101">
        <f>'[8]Retraités en paiement au 31-12'!T14</f>
        <v>31993</v>
      </c>
      <c r="U9" s="101">
        <f>'[8]Retraités en paiement au 31-12'!U14</f>
        <v>32429</v>
      </c>
      <c r="W9" s="101">
        <v>30921</v>
      </c>
      <c r="X9" s="101">
        <v>30611</v>
      </c>
      <c r="Y9" s="101">
        <v>30678</v>
      </c>
      <c r="Z9" s="101">
        <v>30477</v>
      </c>
      <c r="AA9" s="101">
        <v>31017</v>
      </c>
      <c r="AB9" s="101">
        <f>[5]recto!$E$21</f>
        <v>31451</v>
      </c>
      <c r="AC9" s="101">
        <f>[18]recto!$E$21</f>
        <v>31968</v>
      </c>
      <c r="AE9" s="173">
        <f>X9/W9-1</f>
        <v>-1.0025548979657795E-2</v>
      </c>
      <c r="AF9" s="173">
        <f>Y9/X9-1</f>
        <v>2.1887556760642468E-3</v>
      </c>
      <c r="AG9" s="173">
        <f>Z9/Y9-1</f>
        <v>-6.5519264619596784E-3</v>
      </c>
      <c r="AH9" s="173">
        <f>AA9/Z9-1</f>
        <v>1.771827935820447E-2</v>
      </c>
      <c r="AI9" s="173">
        <f>AB9/AA9-1</f>
        <v>1.3992326788535348E-2</v>
      </c>
      <c r="AJ9" s="173">
        <f>AC9/AB9-1</f>
        <v>1.643826905344814E-2</v>
      </c>
    </row>
    <row r="10" spans="2:36" s="66" customFormat="1" ht="12.75" customHeight="1" thickTop="1" thickBot="1" x14ac:dyDescent="0.3">
      <c r="B10" s="330"/>
      <c r="C10" s="102" t="s">
        <v>57</v>
      </c>
      <c r="D10" s="69"/>
      <c r="E10" s="23">
        <v>74784</v>
      </c>
      <c r="F10" s="23">
        <v>80486</v>
      </c>
      <c r="G10" s="23">
        <v>86663</v>
      </c>
      <c r="H10" s="23">
        <v>93836</v>
      </c>
      <c r="I10" s="23">
        <v>101964</v>
      </c>
      <c r="J10" s="23">
        <v>110294</v>
      </c>
      <c r="K10" s="23">
        <v>118919</v>
      </c>
      <c r="L10" s="23">
        <v>126451</v>
      </c>
      <c r="M10" s="23">
        <v>133795</v>
      </c>
      <c r="N10" s="23">
        <v>139505</v>
      </c>
      <c r="O10" s="23">
        <v>145611</v>
      </c>
      <c r="P10" s="23">
        <v>150794</v>
      </c>
      <c r="Q10" s="23">
        <v>156774</v>
      </c>
      <c r="R10" s="23">
        <v>162195</v>
      </c>
      <c r="S10" s="23">
        <v>167174</v>
      </c>
      <c r="T10" s="23">
        <v>171956</v>
      </c>
      <c r="U10" s="23">
        <v>177372</v>
      </c>
      <c r="W10" s="23">
        <v>183928</v>
      </c>
      <c r="X10" s="23">
        <v>186815</v>
      </c>
      <c r="Y10" s="23">
        <v>190226</v>
      </c>
      <c r="Z10" s="23">
        <v>193569</v>
      </c>
      <c r="AA10" s="23">
        <v>199786</v>
      </c>
      <c r="AB10" s="23">
        <f>[5]recto!$E$22</f>
        <v>204381</v>
      </c>
      <c r="AC10" s="23">
        <f>[18]recto!$E$22</f>
        <v>209716</v>
      </c>
      <c r="AE10" s="154">
        <f t="shared" ref="AE10:AE19" si="0">X10/W10-1</f>
        <v>1.5696359445000141E-2</v>
      </c>
      <c r="AF10" s="154">
        <f t="shared" ref="AF10:AJ19" si="1">Y10/X10-1</f>
        <v>1.8258705136097175E-2</v>
      </c>
      <c r="AG10" s="154">
        <f t="shared" si="1"/>
        <v>1.7573833229947544E-2</v>
      </c>
      <c r="AH10" s="154">
        <f t="shared" si="1"/>
        <v>3.211774612670415E-2</v>
      </c>
      <c r="AI10" s="154">
        <f t="shared" si="1"/>
        <v>2.2999609582253111E-2</v>
      </c>
      <c r="AJ10" s="154">
        <f t="shared" si="1"/>
        <v>2.6103209202420929E-2</v>
      </c>
    </row>
    <row r="11" spans="2:36" s="66" customFormat="1" ht="24" customHeight="1" thickTop="1" thickBot="1" x14ac:dyDescent="0.3">
      <c r="B11" s="330"/>
      <c r="C11" s="103" t="s">
        <v>58</v>
      </c>
      <c r="D11" s="104"/>
      <c r="E11" s="105">
        <f>SUM(E9:E10)</f>
        <v>94298</v>
      </c>
      <c r="F11" s="105">
        <f t="shared" ref="F11:S11" si="2">SUM(F9:F10)</f>
        <v>101196</v>
      </c>
      <c r="G11" s="105">
        <f t="shared" si="2"/>
        <v>109705</v>
      </c>
      <c r="H11" s="105">
        <f t="shared" si="2"/>
        <v>118826</v>
      </c>
      <c r="I11" s="105">
        <f t="shared" si="2"/>
        <v>128400</v>
      </c>
      <c r="J11" s="105">
        <f t="shared" si="2"/>
        <v>137779</v>
      </c>
      <c r="K11" s="105">
        <f t="shared" si="2"/>
        <v>147605</v>
      </c>
      <c r="L11" s="105">
        <f t="shared" si="2"/>
        <v>155833</v>
      </c>
      <c r="M11" s="105">
        <f t="shared" si="2"/>
        <v>164145</v>
      </c>
      <c r="N11" s="105">
        <f t="shared" si="2"/>
        <v>170768</v>
      </c>
      <c r="O11" s="105">
        <f t="shared" si="2"/>
        <v>177072</v>
      </c>
      <c r="P11" s="105">
        <f t="shared" si="2"/>
        <v>182245</v>
      </c>
      <c r="Q11" s="105">
        <f t="shared" si="2"/>
        <v>188652</v>
      </c>
      <c r="R11" s="105">
        <f t="shared" si="2"/>
        <v>194216</v>
      </c>
      <c r="S11" s="105">
        <f t="shared" si="2"/>
        <v>199135</v>
      </c>
      <c r="T11" s="105">
        <f>SUM(T9:T10)</f>
        <v>203949</v>
      </c>
      <c r="U11" s="105">
        <f>SUM(U9:U10)</f>
        <v>209801</v>
      </c>
      <c r="W11" s="105">
        <v>214849</v>
      </c>
      <c r="X11" s="105">
        <v>217426</v>
      </c>
      <c r="Y11" s="105">
        <v>220904</v>
      </c>
      <c r="Z11" s="105">
        <v>224046</v>
      </c>
      <c r="AA11" s="105">
        <v>230803</v>
      </c>
      <c r="AB11" s="105">
        <f>SUM(AB9:AB10)</f>
        <v>235832</v>
      </c>
      <c r="AC11" s="105">
        <f>SUM(AC9:AC10)</f>
        <v>241684</v>
      </c>
      <c r="AE11" s="187">
        <f t="shared" si="0"/>
        <v>1.1994470535120039E-2</v>
      </c>
      <c r="AF11" s="187">
        <f t="shared" si="1"/>
        <v>1.5996246998978947E-2</v>
      </c>
      <c r="AG11" s="187">
        <f t="shared" si="1"/>
        <v>1.4223373048926291E-2</v>
      </c>
      <c r="AH11" s="187">
        <f t="shared" si="1"/>
        <v>3.0158985208394773E-2</v>
      </c>
      <c r="AI11" s="187">
        <f t="shared" si="1"/>
        <v>2.1789144855136167E-2</v>
      </c>
      <c r="AJ11" s="187">
        <f t="shared" si="1"/>
        <v>2.4814274568336847E-2</v>
      </c>
    </row>
    <row r="12" spans="2:36" s="66" customFormat="1" ht="17.25" customHeight="1" thickTop="1" thickBot="1" x14ac:dyDescent="0.3">
      <c r="B12" s="330"/>
      <c r="C12" s="106" t="s">
        <v>59</v>
      </c>
      <c r="D12" s="107"/>
      <c r="E12" s="109" t="s">
        <v>60</v>
      </c>
      <c r="F12" s="109" t="s">
        <v>60</v>
      </c>
      <c r="G12" s="109" t="s">
        <v>60</v>
      </c>
      <c r="H12" s="109" t="s">
        <v>60</v>
      </c>
      <c r="I12" s="109" t="s">
        <v>60</v>
      </c>
      <c r="J12" s="109" t="s">
        <v>60</v>
      </c>
      <c r="K12" s="109" t="s">
        <v>60</v>
      </c>
      <c r="L12" s="108">
        <v>1581</v>
      </c>
      <c r="M12" s="108">
        <v>1913</v>
      </c>
      <c r="N12" s="108">
        <v>1973</v>
      </c>
      <c r="O12" s="108">
        <v>2009</v>
      </c>
      <c r="P12" s="108">
        <v>2120</v>
      </c>
      <c r="Q12" s="108">
        <v>2166</v>
      </c>
      <c r="R12" s="108">
        <v>2204</v>
      </c>
      <c r="S12" s="108">
        <v>2304</v>
      </c>
      <c r="T12" s="108">
        <v>2306</v>
      </c>
      <c r="U12" s="108">
        <f>'[13]Stock verso 1'!$F$25</f>
        <v>2331</v>
      </c>
      <c r="W12" s="329" t="s">
        <v>89</v>
      </c>
      <c r="X12" s="329"/>
      <c r="Y12" s="329"/>
      <c r="Z12" s="329"/>
      <c r="AA12" s="329"/>
      <c r="AB12" s="329"/>
      <c r="AC12" s="219"/>
      <c r="AE12" s="188"/>
      <c r="AF12" s="188"/>
      <c r="AG12" s="188"/>
      <c r="AH12" s="188"/>
      <c r="AI12" s="188"/>
      <c r="AJ12" s="188"/>
    </row>
    <row r="13" spans="2:36" s="66" customFormat="1" ht="12.75" customHeight="1" thickTop="1" thickBot="1" x14ac:dyDescent="0.3">
      <c r="B13" s="330" t="s">
        <v>11</v>
      </c>
      <c r="C13" s="100" t="s">
        <v>111</v>
      </c>
      <c r="D13" s="67"/>
      <c r="E13" s="101">
        <v>798976</v>
      </c>
      <c r="F13" s="101">
        <v>806153</v>
      </c>
      <c r="G13" s="101">
        <v>828880</v>
      </c>
      <c r="H13" s="101">
        <v>844710</v>
      </c>
      <c r="I13" s="101">
        <v>849956</v>
      </c>
      <c r="J13" s="101">
        <v>849524</v>
      </c>
      <c r="K13" s="101">
        <v>847556</v>
      </c>
      <c r="L13" s="101">
        <v>839316</v>
      </c>
      <c r="M13" s="101">
        <v>832340</v>
      </c>
      <c r="N13" s="101">
        <v>825407</v>
      </c>
      <c r="O13" s="101">
        <v>813225</v>
      </c>
      <c r="P13" s="101">
        <v>793750</v>
      </c>
      <c r="Q13" s="101">
        <f>'[8]Retraités en paiement au 31-12'!Q28</f>
        <v>781898</v>
      </c>
      <c r="R13" s="101">
        <f>'[8]Retraités en paiement au 31-12'!R28</f>
        <v>768861</v>
      </c>
      <c r="S13" s="101">
        <f>'[8]Retraités en paiement au 31-12'!S28</f>
        <v>727832</v>
      </c>
      <c r="T13" s="101">
        <f>'[8]Retraités en paiement au 31-12'!T28</f>
        <v>731175</v>
      </c>
      <c r="U13" s="101">
        <f>'[8]Retraités en paiement au 31-12'!U28</f>
        <v>734754</v>
      </c>
      <c r="W13" s="101">
        <v>740233</v>
      </c>
      <c r="X13" s="101">
        <v>690280</v>
      </c>
      <c r="Y13" s="101">
        <v>677707</v>
      </c>
      <c r="Z13" s="101">
        <v>662917</v>
      </c>
      <c r="AA13" s="101">
        <v>655252</v>
      </c>
      <c r="AB13" s="101">
        <f>[5]recto!$F$21</f>
        <v>648734</v>
      </c>
      <c r="AC13" s="101">
        <f>[18]recto!$F$21</f>
        <v>640638</v>
      </c>
      <c r="AE13" s="173">
        <f t="shared" si="0"/>
        <v>-6.7482806089434022E-2</v>
      </c>
      <c r="AF13" s="173">
        <f t="shared" si="1"/>
        <v>-1.8214347800892372E-2</v>
      </c>
      <c r="AG13" s="173">
        <f t="shared" si="1"/>
        <v>-2.1823590430672835E-2</v>
      </c>
      <c r="AH13" s="173">
        <f t="shared" si="1"/>
        <v>-1.1562533469499203E-2</v>
      </c>
      <c r="AI13" s="173">
        <f t="shared" si="1"/>
        <v>-9.9473179784266286E-3</v>
      </c>
      <c r="AJ13" s="173">
        <f t="shared" si="1"/>
        <v>-1.2479691213964417E-2</v>
      </c>
    </row>
    <row r="14" spans="2:36" s="66" customFormat="1" ht="12.75" customHeight="1" thickTop="1" thickBot="1" x14ac:dyDescent="0.3">
      <c r="B14" s="330"/>
      <c r="C14" s="102" t="s">
        <v>57</v>
      </c>
      <c r="D14" s="69"/>
      <c r="E14" s="23">
        <v>1427133</v>
      </c>
      <c r="F14" s="23">
        <v>1461122</v>
      </c>
      <c r="G14" s="23">
        <v>1490401</v>
      </c>
      <c r="H14" s="23">
        <v>1524894</v>
      </c>
      <c r="I14" s="23">
        <v>1562766</v>
      </c>
      <c r="J14" s="23">
        <v>1597045</v>
      </c>
      <c r="K14" s="23">
        <v>1636621</v>
      </c>
      <c r="L14" s="23">
        <v>1670166</v>
      </c>
      <c r="M14" s="23">
        <v>1701122</v>
      </c>
      <c r="N14" s="23">
        <v>1720447</v>
      </c>
      <c r="O14" s="23">
        <v>1742976</v>
      </c>
      <c r="P14" s="23">
        <v>1758732</v>
      </c>
      <c r="Q14" s="23">
        <v>1775926</v>
      </c>
      <c r="R14" s="23">
        <v>1792545</v>
      </c>
      <c r="S14" s="23">
        <v>1801640</v>
      </c>
      <c r="T14" s="23">
        <v>1814833</v>
      </c>
      <c r="U14" s="23">
        <v>1830392</v>
      </c>
      <c r="W14" s="23">
        <v>1888296</v>
      </c>
      <c r="X14" s="23">
        <v>1889726</v>
      </c>
      <c r="Y14" s="23">
        <v>1896746</v>
      </c>
      <c r="Z14" s="23">
        <v>1898415</v>
      </c>
      <c r="AA14" s="23">
        <v>1911064</v>
      </c>
      <c r="AB14" s="216">
        <f>[5]recto!$F$22</f>
        <v>1912824</v>
      </c>
      <c r="AC14" s="216">
        <f>[18]recto!$F$22</f>
        <v>1916244</v>
      </c>
      <c r="AE14" s="154">
        <f t="shared" si="0"/>
        <v>7.5729652554468174E-4</v>
      </c>
      <c r="AF14" s="154">
        <f t="shared" si="1"/>
        <v>3.7148242655284935E-3</v>
      </c>
      <c r="AG14" s="154">
        <f t="shared" si="1"/>
        <v>8.7992804518899348E-4</v>
      </c>
      <c r="AH14" s="154">
        <f t="shared" si="1"/>
        <v>6.6629267046456331E-3</v>
      </c>
      <c r="AI14" s="154">
        <f t="shared" si="1"/>
        <v>9.2095293511884613E-4</v>
      </c>
      <c r="AJ14" s="154">
        <f t="shared" si="1"/>
        <v>1.7879323973351013E-3</v>
      </c>
    </row>
    <row r="15" spans="2:36" s="66" customFormat="1" ht="24" customHeight="1" thickTop="1" thickBot="1" x14ac:dyDescent="0.3">
      <c r="B15" s="330"/>
      <c r="C15" s="103" t="s">
        <v>58</v>
      </c>
      <c r="D15" s="104"/>
      <c r="E15" s="105">
        <f t="shared" ref="E15:U15" si="3">SUM(E13:E14)</f>
        <v>2226109</v>
      </c>
      <c r="F15" s="105">
        <f t="shared" si="3"/>
        <v>2267275</v>
      </c>
      <c r="G15" s="105">
        <f t="shared" si="3"/>
        <v>2319281</v>
      </c>
      <c r="H15" s="105">
        <f t="shared" si="3"/>
        <v>2369604</v>
      </c>
      <c r="I15" s="105">
        <f t="shared" si="3"/>
        <v>2412722</v>
      </c>
      <c r="J15" s="105">
        <f t="shared" si="3"/>
        <v>2446569</v>
      </c>
      <c r="K15" s="105">
        <f t="shared" si="3"/>
        <v>2484177</v>
      </c>
      <c r="L15" s="105">
        <f t="shared" si="3"/>
        <v>2509482</v>
      </c>
      <c r="M15" s="105">
        <f t="shared" si="3"/>
        <v>2533462</v>
      </c>
      <c r="N15" s="105">
        <f t="shared" si="3"/>
        <v>2545854</v>
      </c>
      <c r="O15" s="105">
        <f t="shared" si="3"/>
        <v>2556201</v>
      </c>
      <c r="P15" s="105">
        <f t="shared" si="3"/>
        <v>2552482</v>
      </c>
      <c r="Q15" s="105">
        <f t="shared" si="3"/>
        <v>2557824</v>
      </c>
      <c r="R15" s="105">
        <f t="shared" si="3"/>
        <v>2561406</v>
      </c>
      <c r="S15" s="105">
        <f t="shared" si="3"/>
        <v>2529472</v>
      </c>
      <c r="T15" s="105">
        <f t="shared" si="3"/>
        <v>2546008</v>
      </c>
      <c r="U15" s="105">
        <f t="shared" si="3"/>
        <v>2565146</v>
      </c>
      <c r="W15" s="105">
        <v>2628529</v>
      </c>
      <c r="X15" s="105">
        <v>2580006</v>
      </c>
      <c r="Y15" s="105">
        <v>2574453</v>
      </c>
      <c r="Z15" s="105">
        <v>2561332</v>
      </c>
      <c r="AA15" s="105">
        <v>2566316</v>
      </c>
      <c r="AB15" s="105">
        <f>SUM(AB13:AB14)</f>
        <v>2561558</v>
      </c>
      <c r="AC15" s="105">
        <f>SUM(AC13:AC14)</f>
        <v>2556882</v>
      </c>
      <c r="AE15" s="187">
        <f t="shared" si="0"/>
        <v>-1.8460134927177907E-2</v>
      </c>
      <c r="AF15" s="187">
        <f t="shared" si="1"/>
        <v>-2.1523205759986785E-3</v>
      </c>
      <c r="AG15" s="187">
        <f t="shared" si="1"/>
        <v>-5.0966166405057578E-3</v>
      </c>
      <c r="AH15" s="187">
        <f t="shared" si="1"/>
        <v>1.9458625433954602E-3</v>
      </c>
      <c r="AI15" s="187">
        <f t="shared" si="1"/>
        <v>-1.8540195361755885E-3</v>
      </c>
      <c r="AJ15" s="187">
        <f t="shared" si="1"/>
        <v>-1.8254515416008532E-3</v>
      </c>
    </row>
    <row r="16" spans="2:36" s="66" customFormat="1" ht="21.75" customHeight="1" thickTop="1" thickBot="1" x14ac:dyDescent="0.3">
      <c r="B16" s="330"/>
      <c r="C16" s="106" t="s">
        <v>59</v>
      </c>
      <c r="D16" s="107"/>
      <c r="E16" s="109" t="s">
        <v>60</v>
      </c>
      <c r="F16" s="109" t="s">
        <v>60</v>
      </c>
      <c r="G16" s="109" t="s">
        <v>60</v>
      </c>
      <c r="H16" s="109" t="s">
        <v>60</v>
      </c>
      <c r="I16" s="109" t="s">
        <v>60</v>
      </c>
      <c r="J16" s="109" t="s">
        <v>60</v>
      </c>
      <c r="K16" s="109" t="s">
        <v>60</v>
      </c>
      <c r="L16" s="108">
        <v>211926</v>
      </c>
      <c r="M16" s="108">
        <v>226550</v>
      </c>
      <c r="N16" s="108">
        <v>232534</v>
      </c>
      <c r="O16" s="108">
        <v>235363</v>
      </c>
      <c r="P16" s="108">
        <v>257166</v>
      </c>
      <c r="Q16" s="108">
        <v>271532</v>
      </c>
      <c r="R16" s="108">
        <v>282010</v>
      </c>
      <c r="S16" s="108">
        <v>281367</v>
      </c>
      <c r="T16" s="108">
        <v>287983</v>
      </c>
      <c r="U16" s="108">
        <f>'[13]Stock verso 1'!$G$25</f>
        <v>290913</v>
      </c>
      <c r="W16" s="329" t="s">
        <v>89</v>
      </c>
      <c r="X16" s="329"/>
      <c r="Y16" s="329"/>
      <c r="Z16" s="329"/>
      <c r="AA16" s="329"/>
      <c r="AB16" s="329"/>
      <c r="AC16" s="219"/>
      <c r="AE16" s="188"/>
      <c r="AF16" s="188"/>
      <c r="AG16" s="188"/>
      <c r="AH16" s="188"/>
      <c r="AI16" s="188"/>
      <c r="AJ16" s="188"/>
    </row>
    <row r="17" spans="2:36" s="66" customFormat="1" ht="12.75" customHeight="1" thickTop="1" thickBot="1" x14ac:dyDescent="0.3">
      <c r="B17" s="331" t="s">
        <v>14</v>
      </c>
      <c r="C17" s="100" t="s">
        <v>111</v>
      </c>
      <c r="D17" s="67"/>
      <c r="E17" s="101">
        <f t="shared" ref="E17:N18" si="4">E9+E13</f>
        <v>818490</v>
      </c>
      <c r="F17" s="101">
        <f t="shared" si="4"/>
        <v>826863</v>
      </c>
      <c r="G17" s="101">
        <f t="shared" si="4"/>
        <v>851922</v>
      </c>
      <c r="H17" s="101">
        <f t="shared" si="4"/>
        <v>869700</v>
      </c>
      <c r="I17" s="101">
        <f t="shared" si="4"/>
        <v>876392</v>
      </c>
      <c r="J17" s="101">
        <f t="shared" si="4"/>
        <v>877009</v>
      </c>
      <c r="K17" s="101">
        <f t="shared" si="4"/>
        <v>876242</v>
      </c>
      <c r="L17" s="101">
        <f t="shared" si="4"/>
        <v>868698</v>
      </c>
      <c r="M17" s="101">
        <f t="shared" si="4"/>
        <v>862690</v>
      </c>
      <c r="N17" s="101">
        <f t="shared" si="4"/>
        <v>856670</v>
      </c>
      <c r="O17" s="101">
        <v>844686</v>
      </c>
      <c r="P17" s="101">
        <f t="shared" ref="P17:U18" si="5">P9+P13</f>
        <v>825201</v>
      </c>
      <c r="Q17" s="101">
        <f t="shared" si="5"/>
        <v>813776</v>
      </c>
      <c r="R17" s="101">
        <f t="shared" si="5"/>
        <v>800882</v>
      </c>
      <c r="S17" s="101">
        <f t="shared" si="5"/>
        <v>759793</v>
      </c>
      <c r="T17" s="101">
        <f t="shared" si="5"/>
        <v>763168</v>
      </c>
      <c r="U17" s="101">
        <f t="shared" si="5"/>
        <v>767183</v>
      </c>
      <c r="W17" s="101">
        <v>771154</v>
      </c>
      <c r="X17" s="101">
        <v>720891</v>
      </c>
      <c r="Y17" s="101">
        <v>708385</v>
      </c>
      <c r="Z17" s="101">
        <v>693394</v>
      </c>
      <c r="AA17" s="101">
        <v>686269</v>
      </c>
      <c r="AB17" s="101">
        <f>AB9+AB13</f>
        <v>680185</v>
      </c>
      <c r="AC17" s="101">
        <f>AC9+AC13</f>
        <v>672606</v>
      </c>
      <c r="AE17" s="173">
        <f t="shared" si="0"/>
        <v>-6.5178939615174181E-2</v>
      </c>
      <c r="AF17" s="173">
        <f t="shared" si="1"/>
        <v>-1.7347976323743852E-2</v>
      </c>
      <c r="AG17" s="173">
        <f t="shared" si="1"/>
        <v>-2.1162221108578017E-2</v>
      </c>
      <c r="AH17" s="173">
        <f t="shared" si="1"/>
        <v>-1.0275543197662551E-2</v>
      </c>
      <c r="AI17" s="173">
        <f t="shared" si="1"/>
        <v>-8.8653283187788423E-3</v>
      </c>
      <c r="AJ17" s="173">
        <f t="shared" si="1"/>
        <v>-1.1142556804398795E-2</v>
      </c>
    </row>
    <row r="18" spans="2:36" s="66" customFormat="1" ht="12.75" customHeight="1" thickTop="1" thickBot="1" x14ac:dyDescent="0.3">
      <c r="B18" s="331"/>
      <c r="C18" s="102" t="s">
        <v>57</v>
      </c>
      <c r="D18" s="69"/>
      <c r="E18" s="23">
        <f t="shared" si="4"/>
        <v>1501917</v>
      </c>
      <c r="F18" s="23">
        <f t="shared" si="4"/>
        <v>1541608</v>
      </c>
      <c r="G18" s="23">
        <f t="shared" si="4"/>
        <v>1577064</v>
      </c>
      <c r="H18" s="23">
        <f t="shared" si="4"/>
        <v>1618730</v>
      </c>
      <c r="I18" s="23">
        <f t="shared" si="4"/>
        <v>1664730</v>
      </c>
      <c r="J18" s="23">
        <f t="shared" si="4"/>
        <v>1707339</v>
      </c>
      <c r="K18" s="23">
        <f t="shared" si="4"/>
        <v>1755540</v>
      </c>
      <c r="L18" s="23">
        <f t="shared" si="4"/>
        <v>1796617</v>
      </c>
      <c r="M18" s="23">
        <f t="shared" si="4"/>
        <v>1834917</v>
      </c>
      <c r="N18" s="23">
        <f t="shared" si="4"/>
        <v>1859952</v>
      </c>
      <c r="O18" s="23">
        <v>1888587</v>
      </c>
      <c r="P18" s="23">
        <f t="shared" si="5"/>
        <v>1909526</v>
      </c>
      <c r="Q18" s="23">
        <f t="shared" si="5"/>
        <v>1932700</v>
      </c>
      <c r="R18" s="23">
        <f t="shared" si="5"/>
        <v>1954740</v>
      </c>
      <c r="S18" s="23">
        <f t="shared" si="5"/>
        <v>1968814</v>
      </c>
      <c r="T18" s="23">
        <f t="shared" si="5"/>
        <v>1986789</v>
      </c>
      <c r="U18" s="23">
        <f t="shared" si="5"/>
        <v>2007764</v>
      </c>
      <c r="W18" s="23">
        <v>2072224</v>
      </c>
      <c r="X18" s="23">
        <v>2076541</v>
      </c>
      <c r="Y18" s="23">
        <v>2086972</v>
      </c>
      <c r="Z18" s="23">
        <v>2091984</v>
      </c>
      <c r="AA18" s="23">
        <v>2110850</v>
      </c>
      <c r="AB18" s="23">
        <f t="shared" ref="AB18:AC18" si="6">AB10+AB14</f>
        <v>2117205</v>
      </c>
      <c r="AC18" s="23">
        <f t="shared" si="6"/>
        <v>2125960</v>
      </c>
      <c r="AE18" s="154">
        <f t="shared" si="0"/>
        <v>2.0832689902250401E-3</v>
      </c>
      <c r="AF18" s="154">
        <f t="shared" si="1"/>
        <v>5.023257426653327E-3</v>
      </c>
      <c r="AG18" s="154">
        <f t="shared" si="1"/>
        <v>2.4015655217224374E-3</v>
      </c>
      <c r="AH18" s="154">
        <f t="shared" si="1"/>
        <v>9.0182334090509464E-3</v>
      </c>
      <c r="AI18" s="154">
        <f t="shared" si="1"/>
        <v>3.0106355259729156E-3</v>
      </c>
      <c r="AJ18" s="154">
        <f t="shared" si="1"/>
        <v>4.1351687720367902E-3</v>
      </c>
    </row>
    <row r="19" spans="2:36" s="66" customFormat="1" ht="27" customHeight="1" thickTop="1" thickBot="1" x14ac:dyDescent="0.3">
      <c r="B19" s="331"/>
      <c r="C19" s="103" t="s">
        <v>58</v>
      </c>
      <c r="D19" s="104"/>
      <c r="E19" s="105">
        <f t="shared" ref="E19:U19" si="7">SUM(E17:E18)</f>
        <v>2320407</v>
      </c>
      <c r="F19" s="105">
        <f t="shared" si="7"/>
        <v>2368471</v>
      </c>
      <c r="G19" s="105">
        <f t="shared" si="7"/>
        <v>2428986</v>
      </c>
      <c r="H19" s="105">
        <f t="shared" si="7"/>
        <v>2488430</v>
      </c>
      <c r="I19" s="105">
        <f t="shared" si="7"/>
        <v>2541122</v>
      </c>
      <c r="J19" s="105">
        <f t="shared" si="7"/>
        <v>2584348</v>
      </c>
      <c r="K19" s="105">
        <f t="shared" si="7"/>
        <v>2631782</v>
      </c>
      <c r="L19" s="105">
        <f t="shared" si="7"/>
        <v>2665315</v>
      </c>
      <c r="M19" s="105">
        <f t="shared" si="7"/>
        <v>2697607</v>
      </c>
      <c r="N19" s="105">
        <f t="shared" si="7"/>
        <v>2716622</v>
      </c>
      <c r="O19" s="105">
        <f t="shared" si="7"/>
        <v>2733273</v>
      </c>
      <c r="P19" s="105">
        <f t="shared" si="7"/>
        <v>2734727</v>
      </c>
      <c r="Q19" s="105">
        <f t="shared" si="7"/>
        <v>2746476</v>
      </c>
      <c r="R19" s="105">
        <f t="shared" si="7"/>
        <v>2755622</v>
      </c>
      <c r="S19" s="105">
        <f t="shared" si="7"/>
        <v>2728607</v>
      </c>
      <c r="T19" s="105">
        <f t="shared" si="7"/>
        <v>2749957</v>
      </c>
      <c r="U19" s="105">
        <f t="shared" si="7"/>
        <v>2774947</v>
      </c>
      <c r="W19" s="105">
        <v>2843378</v>
      </c>
      <c r="X19" s="105">
        <v>2797432</v>
      </c>
      <c r="Y19" s="105">
        <v>2795357</v>
      </c>
      <c r="Z19" s="105">
        <v>2785378</v>
      </c>
      <c r="AA19" s="105">
        <v>2797119</v>
      </c>
      <c r="AB19" s="105">
        <f>AB11+AB15</f>
        <v>2797390</v>
      </c>
      <c r="AC19" s="105">
        <f>AC11+AC15</f>
        <v>2798566</v>
      </c>
      <c r="AE19" s="187">
        <f t="shared" si="0"/>
        <v>-1.6158948968445275E-2</v>
      </c>
      <c r="AF19" s="187">
        <f t="shared" si="1"/>
        <v>-7.4175172086399233E-4</v>
      </c>
      <c r="AG19" s="187">
        <f t="shared" si="1"/>
        <v>-3.5698481446198027E-3</v>
      </c>
      <c r="AH19" s="187">
        <f t="shared" si="1"/>
        <v>4.2152268022508377E-3</v>
      </c>
      <c r="AI19" s="187">
        <f t="shared" si="1"/>
        <v>9.6885402444346624E-5</v>
      </c>
      <c r="AJ19" s="187">
        <f t="shared" si="1"/>
        <v>4.203918652743166E-4</v>
      </c>
    </row>
    <row r="20" spans="2:36" s="66" customFormat="1" ht="21" customHeight="1" thickTop="1" thickBot="1" x14ac:dyDescent="0.3">
      <c r="B20" s="331"/>
      <c r="C20" s="106" t="s">
        <v>59</v>
      </c>
      <c r="D20" s="107"/>
      <c r="E20" s="109" t="s">
        <v>60</v>
      </c>
      <c r="F20" s="109" t="s">
        <v>60</v>
      </c>
      <c r="G20" s="109" t="s">
        <v>60</v>
      </c>
      <c r="H20" s="109" t="s">
        <v>60</v>
      </c>
      <c r="I20" s="109" t="s">
        <v>60</v>
      </c>
      <c r="J20" s="109" t="s">
        <v>60</v>
      </c>
      <c r="K20" s="109" t="s">
        <v>60</v>
      </c>
      <c r="L20" s="108">
        <f>L12+L16</f>
        <v>213507</v>
      </c>
      <c r="M20" s="108">
        <f>M12+M16</f>
        <v>228463</v>
      </c>
      <c r="N20" s="108">
        <f>N12+N16</f>
        <v>234507</v>
      </c>
      <c r="O20" s="108">
        <v>237372</v>
      </c>
      <c r="P20" s="108">
        <f t="shared" ref="P20:U20" si="8">P12+P16</f>
        <v>259286</v>
      </c>
      <c r="Q20" s="108">
        <f t="shared" si="8"/>
        <v>273698</v>
      </c>
      <c r="R20" s="108">
        <f t="shared" si="8"/>
        <v>284214</v>
      </c>
      <c r="S20" s="108">
        <f t="shared" si="8"/>
        <v>283671</v>
      </c>
      <c r="T20" s="108">
        <f t="shared" si="8"/>
        <v>290289</v>
      </c>
      <c r="U20" s="108">
        <f t="shared" si="8"/>
        <v>293244</v>
      </c>
      <c r="W20" s="329" t="s">
        <v>89</v>
      </c>
      <c r="X20" s="329"/>
      <c r="Y20" s="329"/>
      <c r="Z20" s="329"/>
      <c r="AA20" s="329"/>
      <c r="AB20" s="329"/>
      <c r="AC20" s="329"/>
      <c r="AE20" s="188"/>
      <c r="AF20" s="188"/>
      <c r="AG20" s="188"/>
      <c r="AH20" s="188"/>
      <c r="AI20" s="188"/>
      <c r="AJ20" s="188"/>
    </row>
    <row r="21" spans="2:36" s="156" customFormat="1" ht="12.75" thickTop="1" x14ac:dyDescent="0.2">
      <c r="B21" s="155" t="s">
        <v>85</v>
      </c>
    </row>
    <row r="22" spans="2:36" s="156" customFormat="1" ht="12" x14ac:dyDescent="0.2">
      <c r="B22" s="155" t="s">
        <v>119</v>
      </c>
    </row>
    <row r="23" spans="2:36" s="156" customFormat="1" ht="12" x14ac:dyDescent="0.2">
      <c r="B23" s="155" t="s">
        <v>107</v>
      </c>
    </row>
    <row r="24" spans="2:36" s="156" customFormat="1" ht="12" x14ac:dyDescent="0.2">
      <c r="B24" s="155" t="s">
        <v>15</v>
      </c>
    </row>
    <row r="25" spans="2:36" s="156" customFormat="1" ht="40.5" customHeight="1" x14ac:dyDescent="0.2">
      <c r="B25" s="245" t="s">
        <v>92</v>
      </c>
      <c r="C25" s="245"/>
      <c r="D25" s="245"/>
      <c r="E25" s="245"/>
      <c r="F25" s="245"/>
      <c r="G25" s="245"/>
      <c r="H25" s="245"/>
      <c r="I25" s="245"/>
      <c r="J25" s="245"/>
      <c r="K25" s="245"/>
      <c r="L25" s="245"/>
    </row>
    <row r="26" spans="2:36" s="156" customFormat="1" ht="12" x14ac:dyDescent="0.2">
      <c r="B26" s="155" t="s">
        <v>104</v>
      </c>
    </row>
    <row r="28" spans="2:36" ht="13.5" customHeight="1" thickBot="1" x14ac:dyDescent="0.25">
      <c r="C28" s="49" t="s">
        <v>34</v>
      </c>
    </row>
    <row r="29" spans="2:36" ht="31.5" customHeight="1" x14ac:dyDescent="0.2">
      <c r="C29" s="323" t="s">
        <v>61</v>
      </c>
      <c r="D29" s="324"/>
      <c r="E29" s="292" t="s">
        <v>62</v>
      </c>
      <c r="F29" s="293"/>
      <c r="G29" s="293"/>
      <c r="H29" s="293"/>
      <c r="I29" s="293"/>
      <c r="J29" s="293"/>
      <c r="K29" s="293"/>
      <c r="L29" s="293"/>
      <c r="M29" s="294"/>
    </row>
    <row r="30" spans="2:36" ht="12.75" thickBot="1" x14ac:dyDescent="0.25">
      <c r="C30" s="262" t="s">
        <v>36</v>
      </c>
      <c r="D30" s="263"/>
      <c r="E30" s="286" t="s">
        <v>132</v>
      </c>
      <c r="F30" s="287"/>
      <c r="G30" s="287"/>
      <c r="H30" s="287"/>
      <c r="I30" s="287"/>
      <c r="J30" s="287"/>
      <c r="K30" s="287"/>
      <c r="L30" s="287"/>
      <c r="M30" s="288"/>
    </row>
  </sheetData>
  <mergeCells count="15">
    <mergeCell ref="C30:D30"/>
    <mergeCell ref="B25:L25"/>
    <mergeCell ref="E30:M30"/>
    <mergeCell ref="B9:B12"/>
    <mergeCell ref="B13:B16"/>
    <mergeCell ref="B17:B20"/>
    <mergeCell ref="W6:AC6"/>
    <mergeCell ref="W20:AC20"/>
    <mergeCell ref="AE6:AJ6"/>
    <mergeCell ref="C3:D3"/>
    <mergeCell ref="E6:U6"/>
    <mergeCell ref="C29:D29"/>
    <mergeCell ref="E29:M29"/>
    <mergeCell ref="W12:AB12"/>
    <mergeCell ref="W16:AB16"/>
  </mergeCells>
  <phoneticPr fontId="30" type="noConversion"/>
  <hyperlinks>
    <hyperlink ref="E30" r:id="rId1" location="/portail?menuId=1c16c24d-2f17-4b8a-9551-52d6746cbb3a" xr:uid="{00000000-0004-0000-0500-000000000000}"/>
  </hyperlinks>
  <pageMargins left="0.7" right="0.7" top="0.75" bottom="0.75" header="0.3" footer="0.3"/>
  <pageSetup paperSize="9" orientation="portrait" verticalDpi="0" r:id="rId2"/>
  <ignoredErrors>
    <ignoredError sqref="L19:V19" 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3"/>
  <sheetViews>
    <sheetView showGridLines="0" topLeftCell="A3" workbookViewId="0">
      <pane xSplit="4" topLeftCell="AB1" activePane="topRight" state="frozen"/>
      <selection pane="topRight" activeCell="AK9" sqref="AK9"/>
    </sheetView>
  </sheetViews>
  <sheetFormatPr baseColWidth="10" defaultColWidth="11.42578125" defaultRowHeight="14.25" x14ac:dyDescent="0.2"/>
  <cols>
    <col min="1" max="1" width="1" style="2" customWidth="1"/>
    <col min="2" max="2" width="4.28515625" style="1" customWidth="1"/>
    <col min="3" max="3" width="11.42578125" style="54" customWidth="1"/>
    <col min="4" max="4" width="48.7109375" style="54" customWidth="1"/>
    <col min="5" max="15" width="11.7109375" style="54" customWidth="1"/>
    <col min="16" max="21" width="11.42578125" style="54" customWidth="1"/>
    <col min="22" max="22" width="4.85546875" style="54" customWidth="1"/>
    <col min="23" max="16384" width="11.42578125" style="54"/>
  </cols>
  <sheetData>
    <row r="1" spans="1:36" s="2" customFormat="1" ht="51" customHeight="1" x14ac:dyDescent="0.2">
      <c r="B1" s="1"/>
    </row>
    <row r="2" spans="1:36" s="2" customFormat="1" ht="6.75" customHeight="1" x14ac:dyDescent="0.2">
      <c r="B2" s="1"/>
    </row>
    <row r="3" spans="1:36" s="2" customFormat="1" ht="17.25" customHeight="1" x14ac:dyDescent="0.2">
      <c r="B3" s="1"/>
      <c r="C3" s="190" t="s">
        <v>52</v>
      </c>
      <c r="D3" s="4"/>
      <c r="E3" s="5"/>
      <c r="F3" s="6"/>
    </row>
    <row r="4" spans="1:36" s="2" customFormat="1" ht="7.9" customHeight="1" x14ac:dyDescent="0.2">
      <c r="B4" s="1"/>
      <c r="C4" s="7"/>
      <c r="D4" s="8"/>
      <c r="E4" s="8"/>
      <c r="F4" s="8"/>
      <c r="G4" s="7"/>
      <c r="H4" s="7"/>
    </row>
    <row r="5" spans="1:36" s="2" customFormat="1" ht="16.5" customHeight="1" thickBot="1" x14ac:dyDescent="0.25">
      <c r="B5" s="1"/>
      <c r="C5" s="48" t="s">
        <v>103</v>
      </c>
      <c r="D5" s="8"/>
      <c r="E5" s="8"/>
      <c r="F5" s="8"/>
      <c r="G5" s="7"/>
      <c r="H5" s="7"/>
    </row>
    <row r="6" spans="1:36" s="2" customFormat="1" ht="30" customHeight="1" thickBot="1" x14ac:dyDescent="0.25">
      <c r="B6" s="1"/>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1:36" s="12" customFormat="1" ht="19.149999999999999" customHeight="1" thickBot="1" x14ac:dyDescent="0.3">
      <c r="B7" s="9"/>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1:36" ht="12.75" customHeight="1" thickBot="1" x14ac:dyDescent="0.25"/>
    <row r="9" spans="1:36" s="66" customFormat="1" ht="24" customHeight="1" thickTop="1" thickBot="1" x14ac:dyDescent="0.3">
      <c r="A9" s="12"/>
      <c r="B9" s="304" t="s">
        <v>2</v>
      </c>
      <c r="C9" s="67" t="s">
        <v>53</v>
      </c>
      <c r="D9" s="67"/>
      <c r="E9" s="90">
        <v>161.80000000000001</v>
      </c>
      <c r="F9" s="90">
        <v>166.36</v>
      </c>
      <c r="G9" s="90">
        <v>171.44</v>
      </c>
      <c r="H9" s="90">
        <v>174.99</v>
      </c>
      <c r="I9" s="90">
        <v>176.64</v>
      </c>
      <c r="J9" s="90">
        <v>178.75</v>
      </c>
      <c r="K9" s="90">
        <v>179.47</v>
      </c>
      <c r="L9" s="90">
        <v>180.09</v>
      </c>
      <c r="M9" s="90">
        <v>183.15</v>
      </c>
      <c r="N9" s="90">
        <v>186.81</v>
      </c>
      <c r="O9" s="90">
        <v>188.37</v>
      </c>
      <c r="P9" s="90">
        <v>188</v>
      </c>
      <c r="Q9" s="90">
        <v>188</v>
      </c>
      <c r="R9" s="90">
        <v>188</v>
      </c>
      <c r="S9" s="90">
        <v>189</v>
      </c>
      <c r="T9" s="90">
        <v>190</v>
      </c>
      <c r="U9" s="90">
        <v>192</v>
      </c>
      <c r="W9" s="90">
        <v>191</v>
      </c>
      <c r="X9" s="90">
        <v>194</v>
      </c>
      <c r="Y9" s="90">
        <v>195.93601225634001</v>
      </c>
      <c r="Z9" s="90">
        <f>[14]Montants!$C$15</f>
        <v>209.13675985169144</v>
      </c>
      <c r="AA9" s="90">
        <f>[9]Montants!$C$16</f>
        <v>213.5059174001355</v>
      </c>
      <c r="AB9" s="90">
        <f>[10]Montants!$C$16</f>
        <v>229.319805729547</v>
      </c>
      <c r="AC9" s="90">
        <f>[19]Montants!$C$16</f>
        <v>236.27016954454501</v>
      </c>
      <c r="AE9" s="173">
        <f>X9/W9-1</f>
        <v>1.5706806282722585E-2</v>
      </c>
      <c r="AF9" s="173">
        <f>Y9/X9-1</f>
        <v>9.9794446203094189E-3</v>
      </c>
      <c r="AG9" s="173">
        <f>Z9/Y9-1</f>
        <v>6.7372748089213452E-2</v>
      </c>
      <c r="AH9" s="173">
        <f>AA9/Z9-1</f>
        <v>2.0891389689418727E-2</v>
      </c>
      <c r="AI9" s="173">
        <f>AB9/AA9-1</f>
        <v>7.4067681692280063E-2</v>
      </c>
      <c r="AJ9" s="173">
        <f>AC9/AB9-1</f>
        <v>3.0308606763757018E-2</v>
      </c>
    </row>
    <row r="10" spans="1:36" s="66" customFormat="1" ht="24" customHeight="1" thickBot="1" x14ac:dyDescent="0.3">
      <c r="A10" s="12"/>
      <c r="B10" s="305"/>
      <c r="C10" s="69" t="s">
        <v>116</v>
      </c>
      <c r="D10" s="69"/>
      <c r="E10" s="91">
        <v>120.95</v>
      </c>
      <c r="F10" s="91">
        <v>126.21</v>
      </c>
      <c r="G10" s="91">
        <v>135.27000000000001</v>
      </c>
      <c r="H10" s="91">
        <v>146.86000000000001</v>
      </c>
      <c r="I10" s="91">
        <v>157.69</v>
      </c>
      <c r="J10" s="91">
        <v>167.99</v>
      </c>
      <c r="K10" s="91">
        <v>175.77</v>
      </c>
      <c r="L10" s="91">
        <v>183.1</v>
      </c>
      <c r="M10" s="91">
        <v>191.69</v>
      </c>
      <c r="N10" s="91">
        <v>199.52</v>
      </c>
      <c r="O10" s="91">
        <v>206</v>
      </c>
      <c r="P10" s="91">
        <v>209</v>
      </c>
      <c r="Q10" s="91">
        <v>212</v>
      </c>
      <c r="R10" s="91">
        <v>215</v>
      </c>
      <c r="S10" s="91">
        <v>220</v>
      </c>
      <c r="T10" s="91">
        <v>222</v>
      </c>
      <c r="U10" s="91">
        <v>226</v>
      </c>
      <c r="W10" s="91">
        <v>232</v>
      </c>
      <c r="X10" s="91">
        <v>237</v>
      </c>
      <c r="Y10" s="91">
        <f>[11]Montants!$C$18</f>
        <v>240.61145380757605</v>
      </c>
      <c r="Z10" s="91">
        <f>[14]Montants!$C$16</f>
        <v>257.85075678440342</v>
      </c>
      <c r="AA10" s="91">
        <f>[9]Montants!$C$17</f>
        <v>262.49058632736961</v>
      </c>
      <c r="AB10" s="91">
        <f>[10]Montants!$C$17</f>
        <v>281.33235163738198</v>
      </c>
      <c r="AC10" s="91">
        <f>[19]Montants!$C$17</f>
        <v>289.84907856338998</v>
      </c>
      <c r="AE10" s="154">
        <f t="shared" ref="AE10:AE17" si="0">X10/W10-1</f>
        <v>2.155172413793105E-2</v>
      </c>
      <c r="AF10" s="154">
        <f t="shared" ref="AF10:AJ17" si="1">Y10/X10-1</f>
        <v>1.5238201719730116E-2</v>
      </c>
      <c r="AG10" s="154">
        <f t="shared" si="1"/>
        <v>7.1647890006990789E-2</v>
      </c>
      <c r="AH10" s="154">
        <f t="shared" si="1"/>
        <v>1.7994244425839412E-2</v>
      </c>
      <c r="AI10" s="154">
        <f t="shared" si="1"/>
        <v>7.1780727734416905E-2</v>
      </c>
      <c r="AJ10" s="154">
        <f t="shared" si="1"/>
        <v>3.0272831675560274E-2</v>
      </c>
    </row>
    <row r="11" spans="1:36" s="66" customFormat="1" ht="24" customHeight="1" thickBot="1" x14ac:dyDescent="0.3">
      <c r="A11" s="12"/>
      <c r="B11" s="306"/>
      <c r="C11" s="71" t="s">
        <v>99</v>
      </c>
      <c r="D11" s="72"/>
      <c r="E11" s="92">
        <v>129.06</v>
      </c>
      <c r="F11" s="92">
        <v>134.41999999999999</v>
      </c>
      <c r="G11" s="92">
        <v>142.87</v>
      </c>
      <c r="H11" s="92">
        <v>152.77000000000001</v>
      </c>
      <c r="I11" s="92">
        <v>161.59</v>
      </c>
      <c r="J11" s="92">
        <v>170.14</v>
      </c>
      <c r="K11" s="92">
        <v>176.49</v>
      </c>
      <c r="L11" s="92">
        <v>182.53</v>
      </c>
      <c r="M11" s="92">
        <v>190.11</v>
      </c>
      <c r="N11" s="92">
        <v>197.19</v>
      </c>
      <c r="O11" s="92">
        <v>197</v>
      </c>
      <c r="P11" s="92">
        <v>200</v>
      </c>
      <c r="Q11" s="92">
        <v>203</v>
      </c>
      <c r="R11" s="92">
        <v>206</v>
      </c>
      <c r="S11" s="92">
        <v>215</v>
      </c>
      <c r="T11" s="92">
        <v>217.16</v>
      </c>
      <c r="U11" s="92">
        <v>220</v>
      </c>
      <c r="W11" s="92">
        <v>225</v>
      </c>
      <c r="X11" s="92">
        <v>231</v>
      </c>
      <c r="Y11" s="92">
        <f>[11]Montants!$C$19</f>
        <v>234.40716055843296</v>
      </c>
      <c r="Z11" s="92">
        <f>[14]Montants!$C$17</f>
        <v>251.22418686341285</v>
      </c>
      <c r="AA11" s="92">
        <f>[9]Montants!$C$18</f>
        <v>255.90766723136193</v>
      </c>
      <c r="AB11" s="92">
        <f>[10]Montants!$C$18</f>
        <v>274.39586048542998</v>
      </c>
      <c r="AC11" s="92">
        <f>[19]Montants!$C$18</f>
        <v>282.76209488422899</v>
      </c>
      <c r="AE11" s="167">
        <f t="shared" si="0"/>
        <v>2.6666666666666616E-2</v>
      </c>
      <c r="AF11" s="167">
        <f t="shared" si="1"/>
        <v>1.4749612807069212E-2</v>
      </c>
      <c r="AG11" s="167">
        <f t="shared" si="1"/>
        <v>7.1742801136775558E-2</v>
      </c>
      <c r="AH11" s="167">
        <f t="shared" si="1"/>
        <v>1.8642633205119719E-2</v>
      </c>
      <c r="AI11" s="167">
        <f t="shared" si="1"/>
        <v>7.2245562057947854E-2</v>
      </c>
      <c r="AJ11" s="167">
        <f t="shared" si="1"/>
        <v>3.0489652373029363E-2</v>
      </c>
    </row>
    <row r="12" spans="1:36" s="66" customFormat="1" ht="24" customHeight="1" thickTop="1" thickBot="1" x14ac:dyDescent="0.3">
      <c r="A12" s="12"/>
      <c r="B12" s="304" t="s">
        <v>11</v>
      </c>
      <c r="C12" s="67" t="s">
        <v>53</v>
      </c>
      <c r="D12" s="93"/>
      <c r="E12" s="94">
        <v>253.42</v>
      </c>
      <c r="F12" s="94">
        <v>250.42</v>
      </c>
      <c r="G12" s="94">
        <v>253.18</v>
      </c>
      <c r="H12" s="94">
        <v>254.49</v>
      </c>
      <c r="I12" s="94">
        <v>256.68</v>
      </c>
      <c r="J12" s="94">
        <v>258.95</v>
      </c>
      <c r="K12" s="94">
        <v>258.27</v>
      </c>
      <c r="L12" s="94">
        <v>263.16000000000003</v>
      </c>
      <c r="M12" s="94">
        <v>266.64</v>
      </c>
      <c r="N12" s="94">
        <v>270.26</v>
      </c>
      <c r="O12" s="94">
        <v>271.97000000000003</v>
      </c>
      <c r="P12" s="94">
        <v>271</v>
      </c>
      <c r="Q12" s="94">
        <v>270</v>
      </c>
      <c r="R12" s="94">
        <v>269</v>
      </c>
      <c r="S12" s="94">
        <v>273</v>
      </c>
      <c r="T12" s="94">
        <v>270</v>
      </c>
      <c r="U12" s="94">
        <v>268</v>
      </c>
      <c r="W12" s="94">
        <v>280</v>
      </c>
      <c r="X12" s="94">
        <v>284</v>
      </c>
      <c r="Y12" s="94">
        <v>286.4145986761244</v>
      </c>
      <c r="Z12" s="94">
        <f>[14]Montants!$E$15</f>
        <v>298.2277588747915</v>
      </c>
      <c r="AA12" s="94">
        <f>[9]Montants!$E$16</f>
        <v>298.48005903072345</v>
      </c>
      <c r="AB12" s="94">
        <f>[10]Montants!$E$16</f>
        <v>312.30983695936999</v>
      </c>
      <c r="AC12" s="94">
        <f>[19]Montants!$E$16</f>
        <v>316.154464502574</v>
      </c>
      <c r="AE12" s="168">
        <f t="shared" si="0"/>
        <v>1.4285714285714235E-2</v>
      </c>
      <c r="AF12" s="168">
        <f t="shared" si="1"/>
        <v>8.502108014522447E-3</v>
      </c>
      <c r="AG12" s="168">
        <f t="shared" si="1"/>
        <v>4.1244965351872054E-2</v>
      </c>
      <c r="AH12" s="168">
        <f t="shared" si="1"/>
        <v>8.4599822928588253E-4</v>
      </c>
      <c r="AI12" s="168">
        <f t="shared" si="1"/>
        <v>4.6334009627165829E-2</v>
      </c>
      <c r="AJ12" s="168">
        <f t="shared" si="1"/>
        <v>1.2310299222832999E-2</v>
      </c>
    </row>
    <row r="13" spans="1:36" s="66" customFormat="1" ht="24" customHeight="1" thickBot="1" x14ac:dyDescent="0.3">
      <c r="A13" s="12"/>
      <c r="B13" s="305"/>
      <c r="C13" s="69" t="s">
        <v>116</v>
      </c>
      <c r="D13" s="69"/>
      <c r="E13" s="91">
        <v>246.77</v>
      </c>
      <c r="F13" s="91">
        <v>253.11</v>
      </c>
      <c r="G13" s="91">
        <v>261.37</v>
      </c>
      <c r="H13" s="91">
        <v>270.08</v>
      </c>
      <c r="I13" s="91">
        <v>278.91000000000003</v>
      </c>
      <c r="J13" s="91">
        <v>288.35000000000002</v>
      </c>
      <c r="K13" s="91">
        <v>294.61</v>
      </c>
      <c r="L13" s="91">
        <v>300.97000000000003</v>
      </c>
      <c r="M13" s="91">
        <v>310.43</v>
      </c>
      <c r="N13" s="91">
        <v>319.7</v>
      </c>
      <c r="O13" s="91">
        <v>327</v>
      </c>
      <c r="P13" s="91">
        <v>329</v>
      </c>
      <c r="Q13" s="91">
        <v>332</v>
      </c>
      <c r="R13" s="91">
        <v>334</v>
      </c>
      <c r="S13" s="91">
        <v>339</v>
      </c>
      <c r="T13" s="91">
        <v>341</v>
      </c>
      <c r="U13" s="91">
        <v>343</v>
      </c>
      <c r="W13" s="91">
        <v>372</v>
      </c>
      <c r="X13" s="91">
        <v>377</v>
      </c>
      <c r="Y13" s="91">
        <f>[11]Montants!$E$18</f>
        <v>385.57335914508212</v>
      </c>
      <c r="Z13" s="91">
        <f>[14]Montants!$E$16</f>
        <v>407.52278360105748</v>
      </c>
      <c r="AA13" s="91">
        <f>[9]Montants!$E$17</f>
        <v>412.65034488640964</v>
      </c>
      <c r="AB13" s="91">
        <f>[10]Montants!$E$17</f>
        <v>437.23814473783199</v>
      </c>
      <c r="AC13" s="91">
        <f>[19]Montants!$E$17</f>
        <v>448.25282920651102</v>
      </c>
      <c r="AE13" s="154">
        <f t="shared" si="0"/>
        <v>1.3440860215053752E-2</v>
      </c>
      <c r="AF13" s="154">
        <f t="shared" si="1"/>
        <v>2.2741005689872917E-2</v>
      </c>
      <c r="AG13" s="154">
        <f t="shared" si="1"/>
        <v>5.6926714295414627E-2</v>
      </c>
      <c r="AH13" s="154">
        <f t="shared" si="1"/>
        <v>1.2582268996208512E-2</v>
      </c>
      <c r="AI13" s="154">
        <f t="shared" si="1"/>
        <v>5.9585070401893425E-2</v>
      </c>
      <c r="AJ13" s="154">
        <f t="shared" si="1"/>
        <v>2.5191499417973828E-2</v>
      </c>
    </row>
    <row r="14" spans="1:36" s="66" customFormat="1" ht="24" customHeight="1" thickBot="1" x14ac:dyDescent="0.3">
      <c r="A14" s="12"/>
      <c r="B14" s="306"/>
      <c r="C14" s="71" t="s">
        <v>99</v>
      </c>
      <c r="D14" s="72"/>
      <c r="E14" s="92">
        <v>249.11</v>
      </c>
      <c r="F14" s="92">
        <v>252.16</v>
      </c>
      <c r="G14" s="92">
        <v>258.44</v>
      </c>
      <c r="H14" s="92">
        <v>264.52999999999997</v>
      </c>
      <c r="I14" s="92">
        <v>271.08</v>
      </c>
      <c r="J14" s="92">
        <v>278.14999999999998</v>
      </c>
      <c r="K14" s="92">
        <v>282.20999999999998</v>
      </c>
      <c r="L14" s="92">
        <v>288.33</v>
      </c>
      <c r="M14" s="92">
        <v>296.04000000000002</v>
      </c>
      <c r="N14" s="92">
        <v>303.68</v>
      </c>
      <c r="O14" s="92">
        <v>311</v>
      </c>
      <c r="P14" s="92">
        <v>313</v>
      </c>
      <c r="Q14" s="92">
        <v>316</v>
      </c>
      <c r="R14" s="92">
        <v>318</v>
      </c>
      <c r="S14" s="92">
        <v>320</v>
      </c>
      <c r="T14" s="92">
        <v>321</v>
      </c>
      <c r="U14" s="92">
        <v>322</v>
      </c>
      <c r="W14" s="92">
        <v>342</v>
      </c>
      <c r="X14" s="92">
        <v>352</v>
      </c>
      <c r="Y14" s="92">
        <f>[11]Montants!$E$19</f>
        <v>359.47049920507231</v>
      </c>
      <c r="Z14" s="92">
        <f>[14]Montants!$E$17</f>
        <v>379.23534179091308</v>
      </c>
      <c r="AA14" s="92">
        <f>[9]Montants!$E$18</f>
        <v>383.4994888938075</v>
      </c>
      <c r="AB14" s="92">
        <f>[10]Montants!$E$18</f>
        <v>405.599102866301</v>
      </c>
      <c r="AC14" s="92">
        <f>[19]Montants!$E$18</f>
        <v>415.15500452504301</v>
      </c>
      <c r="AE14" s="167">
        <f t="shared" si="0"/>
        <v>2.9239766081871288E-2</v>
      </c>
      <c r="AF14" s="167">
        <f t="shared" si="1"/>
        <v>2.1223009105319157E-2</v>
      </c>
      <c r="AG14" s="167">
        <f t="shared" si="1"/>
        <v>5.4983211778291796E-2</v>
      </c>
      <c r="AH14" s="167">
        <f t="shared" si="1"/>
        <v>1.124406571064096E-2</v>
      </c>
      <c r="AI14" s="167">
        <f t="shared" si="1"/>
        <v>5.7626188854225546E-2</v>
      </c>
      <c r="AJ14" s="167">
        <f t="shared" si="1"/>
        <v>2.3559967443744556E-2</v>
      </c>
    </row>
    <row r="15" spans="1:36" s="66" customFormat="1" ht="24" customHeight="1" thickTop="1" thickBot="1" x14ac:dyDescent="0.3">
      <c r="A15" s="12"/>
      <c r="B15" s="332" t="s">
        <v>14</v>
      </c>
      <c r="C15" s="67" t="s">
        <v>53</v>
      </c>
      <c r="D15" s="67"/>
      <c r="E15" s="95">
        <v>251.31</v>
      </c>
      <c r="F15" s="95">
        <v>248.32</v>
      </c>
      <c r="G15" s="95">
        <v>250.97</v>
      </c>
      <c r="H15" s="95">
        <v>252.2</v>
      </c>
      <c r="I15" s="95">
        <v>254.27</v>
      </c>
      <c r="J15" s="95">
        <v>256.44</v>
      </c>
      <c r="K15" s="95">
        <v>255.69</v>
      </c>
      <c r="L15" s="95">
        <v>260.35000000000002</v>
      </c>
      <c r="M15" s="95">
        <v>263.7</v>
      </c>
      <c r="N15" s="95">
        <v>267.22000000000003</v>
      </c>
      <c r="O15" s="95">
        <v>268.87</v>
      </c>
      <c r="P15" s="95">
        <v>268</v>
      </c>
      <c r="Q15" s="95">
        <v>267</v>
      </c>
      <c r="R15" s="95">
        <v>266</v>
      </c>
      <c r="S15" s="95">
        <v>269</v>
      </c>
      <c r="T15" s="95">
        <v>267</v>
      </c>
      <c r="U15" s="95">
        <v>265</v>
      </c>
      <c r="W15" s="95">
        <v>277</v>
      </c>
      <c r="X15" s="95">
        <v>281</v>
      </c>
      <c r="Y15" s="95">
        <v>282.49624626297833</v>
      </c>
      <c r="Z15" s="95">
        <f>[14]Montants!$G$15</f>
        <v>294.31190962136992</v>
      </c>
      <c r="AA15" s="95">
        <f>[9]Montants!$G$16</f>
        <v>294.63951989671705</v>
      </c>
      <c r="AB15" s="95">
        <f>[10]Montants!$G$16</f>
        <v>308.47246996037802</v>
      </c>
      <c r="AC15" s="95">
        <f>[19]Montants!$G$16</f>
        <v>312.35767835850402</v>
      </c>
      <c r="AE15" s="210">
        <f t="shared" si="0"/>
        <v>1.4440433212996373E-2</v>
      </c>
      <c r="AF15" s="210">
        <f t="shared" si="1"/>
        <v>5.3247197970758275E-3</v>
      </c>
      <c r="AG15" s="210">
        <f t="shared" si="1"/>
        <v>4.1825912785376618E-2</v>
      </c>
      <c r="AH15" s="210">
        <f t="shared" si="1"/>
        <v>1.1131397155099698E-3</v>
      </c>
      <c r="AI15" s="210">
        <f t="shared" si="1"/>
        <v>4.6948725916027723E-2</v>
      </c>
      <c r="AJ15" s="210">
        <f t="shared" si="1"/>
        <v>1.2594992346075529E-2</v>
      </c>
    </row>
    <row r="16" spans="1:36" s="66" customFormat="1" ht="24" customHeight="1" thickBot="1" x14ac:dyDescent="0.3">
      <c r="A16" s="12"/>
      <c r="B16" s="333"/>
      <c r="C16" s="69" t="s">
        <v>116</v>
      </c>
      <c r="D16" s="69"/>
      <c r="E16" s="96">
        <v>240.62</v>
      </c>
      <c r="F16" s="96">
        <v>246.49</v>
      </c>
      <c r="G16" s="96">
        <v>254.44</v>
      </c>
      <c r="H16" s="96">
        <v>262.94</v>
      </c>
      <c r="I16" s="96">
        <v>271.49</v>
      </c>
      <c r="J16" s="96">
        <v>280.58</v>
      </c>
      <c r="K16" s="96">
        <v>286.56</v>
      </c>
      <c r="L16" s="96">
        <v>298.68</v>
      </c>
      <c r="M16" s="96">
        <v>301.77</v>
      </c>
      <c r="N16" s="96">
        <v>310.69</v>
      </c>
      <c r="O16" s="96">
        <v>316.95</v>
      </c>
      <c r="P16" s="96">
        <v>320</v>
      </c>
      <c r="Q16" s="96">
        <v>322</v>
      </c>
      <c r="R16" s="96">
        <v>324</v>
      </c>
      <c r="S16" s="96">
        <v>329</v>
      </c>
      <c r="T16" s="96">
        <v>330</v>
      </c>
      <c r="U16" s="96">
        <v>333</v>
      </c>
      <c r="W16" s="96">
        <v>360</v>
      </c>
      <c r="X16" s="96">
        <v>365</v>
      </c>
      <c r="Y16" s="96">
        <f>[11]Montants!$G$18</f>
        <v>372.36018551135038</v>
      </c>
      <c r="Z16" s="96">
        <f>[14]Montants!$G$16</f>
        <v>393.67379404909536</v>
      </c>
      <c r="AA16" s="96">
        <f>[9]Montants!$G$17</f>
        <v>398.43814718241327</v>
      </c>
      <c r="AB16" s="96">
        <f>[10]Montants!$G$17</f>
        <v>422.18802824006002</v>
      </c>
      <c r="AC16" s="96">
        <f>[19]Montants!$G$17</f>
        <v>432.62704087094897</v>
      </c>
      <c r="AE16" s="170">
        <f t="shared" si="0"/>
        <v>1.388888888888884E-2</v>
      </c>
      <c r="AF16" s="170">
        <f t="shared" si="1"/>
        <v>2.0164891811918828E-2</v>
      </c>
      <c r="AG16" s="170">
        <f t="shared" si="1"/>
        <v>5.723922526377434E-2</v>
      </c>
      <c r="AH16" s="170">
        <f t="shared" si="1"/>
        <v>1.2102286729107847E-2</v>
      </c>
      <c r="AI16" s="170">
        <f t="shared" si="1"/>
        <v>5.9607447794835622E-2</v>
      </c>
      <c r="AJ16" s="170">
        <f t="shared" si="1"/>
        <v>2.4725979735629178E-2</v>
      </c>
    </row>
    <row r="17" spans="1:36" s="66" customFormat="1" ht="24" customHeight="1" thickBot="1" x14ac:dyDescent="0.3">
      <c r="A17" s="43"/>
      <c r="B17" s="334"/>
      <c r="C17" s="71" t="s">
        <v>99</v>
      </c>
      <c r="D17" s="86"/>
      <c r="E17" s="97">
        <v>244.31</v>
      </c>
      <c r="F17" s="97">
        <v>247.13</v>
      </c>
      <c r="G17" s="97">
        <v>253.22</v>
      </c>
      <c r="H17" s="97">
        <v>259.19</v>
      </c>
      <c r="I17" s="97">
        <v>265.55</v>
      </c>
      <c r="J17" s="97">
        <v>272.39</v>
      </c>
      <c r="K17" s="97">
        <v>276.27999999999997</v>
      </c>
      <c r="L17" s="97">
        <v>282.14</v>
      </c>
      <c r="M17" s="97">
        <v>289.60000000000002</v>
      </c>
      <c r="N17" s="97">
        <v>296.98</v>
      </c>
      <c r="O17" s="97">
        <v>302.08</v>
      </c>
      <c r="P17" s="97">
        <v>304</v>
      </c>
      <c r="Q17" s="97">
        <v>307</v>
      </c>
      <c r="R17" s="97">
        <v>309</v>
      </c>
      <c r="S17" s="97">
        <v>312</v>
      </c>
      <c r="T17" s="97">
        <v>312.61</v>
      </c>
      <c r="U17" s="97">
        <v>314</v>
      </c>
      <c r="W17" s="97">
        <v>333</v>
      </c>
      <c r="X17" s="97">
        <v>343</v>
      </c>
      <c r="Y17" s="97">
        <f>[11]Montants!$G$19</f>
        <v>349.58732801784635</v>
      </c>
      <c r="Z17" s="97">
        <f>[14]Montants!$G$17</f>
        <v>368.93857517004903</v>
      </c>
      <c r="AA17" s="97">
        <f>[9]Montants!$G$18</f>
        <v>372.9713078564082</v>
      </c>
      <c r="AB17" s="97">
        <f>[10]Montants!$G$18</f>
        <v>394.53810563060199</v>
      </c>
      <c r="AC17" s="97">
        <f>[19]Montants!$G$18</f>
        <v>403.72156040629602</v>
      </c>
      <c r="AE17" s="171">
        <f t="shared" si="0"/>
        <v>3.0030030030030019E-2</v>
      </c>
      <c r="AF17" s="171">
        <f t="shared" si="1"/>
        <v>1.9205037952904735E-2</v>
      </c>
      <c r="AG17" s="171">
        <f t="shared" si="1"/>
        <v>5.5354544061776867E-2</v>
      </c>
      <c r="AH17" s="171">
        <f t="shared" si="1"/>
        <v>1.0930634413873541E-2</v>
      </c>
      <c r="AI17" s="171">
        <f t="shared" si="1"/>
        <v>5.7824281170971048E-2</v>
      </c>
      <c r="AJ17" s="171">
        <f t="shared" si="1"/>
        <v>2.3276471004025856E-2</v>
      </c>
    </row>
    <row r="18" spans="1:36" ht="15" thickTop="1" x14ac:dyDescent="0.2">
      <c r="A18" s="12"/>
      <c r="B18" s="63"/>
      <c r="C18" s="155" t="s">
        <v>86</v>
      </c>
    </row>
    <row r="19" spans="1:36" s="156" customFormat="1" ht="12" x14ac:dyDescent="0.2">
      <c r="A19" s="157"/>
      <c r="B19" s="162"/>
      <c r="C19" s="155" t="s">
        <v>85</v>
      </c>
    </row>
    <row r="20" spans="1:36" s="156" customFormat="1" ht="12" x14ac:dyDescent="0.2">
      <c r="A20" s="157"/>
      <c r="B20" s="162"/>
      <c r="C20" s="155" t="s">
        <v>117</v>
      </c>
    </row>
    <row r="21" spans="1:36" s="156" customFormat="1" ht="12" x14ac:dyDescent="0.2">
      <c r="A21" s="157"/>
      <c r="B21" s="162"/>
      <c r="C21" s="155" t="s">
        <v>107</v>
      </c>
    </row>
    <row r="22" spans="1:36" s="156" customFormat="1" ht="12" x14ac:dyDescent="0.2">
      <c r="A22" s="163"/>
      <c r="B22" s="162"/>
      <c r="C22" s="155" t="s">
        <v>108</v>
      </c>
    </row>
    <row r="23" spans="1:36" x14ac:dyDescent="0.2">
      <c r="A23" s="12"/>
      <c r="B23" s="63"/>
    </row>
    <row r="24" spans="1:36" ht="15" thickBot="1" x14ac:dyDescent="0.25">
      <c r="A24" s="12"/>
      <c r="B24" s="63"/>
      <c r="C24" s="49" t="s">
        <v>34</v>
      </c>
    </row>
    <row r="25" spans="1:36" ht="54.75" customHeight="1" thickBot="1" x14ac:dyDescent="0.25">
      <c r="A25" s="12"/>
      <c r="B25" s="63"/>
      <c r="C25" s="299" t="s">
        <v>54</v>
      </c>
      <c r="D25" s="300"/>
      <c r="E25" s="335" t="s">
        <v>55</v>
      </c>
      <c r="F25" s="336"/>
      <c r="G25" s="336"/>
      <c r="H25" s="336"/>
      <c r="I25" s="336"/>
      <c r="J25" s="336"/>
      <c r="K25" s="336"/>
      <c r="L25" s="337"/>
    </row>
    <row r="26" spans="1:36" x14ac:dyDescent="0.2">
      <c r="A26" s="12"/>
      <c r="B26" s="63"/>
    </row>
    <row r="27" spans="1:36" x14ac:dyDescent="0.2">
      <c r="A27" s="12"/>
      <c r="B27" s="63"/>
    </row>
    <row r="28" spans="1:36" ht="15" customHeight="1" x14ac:dyDescent="0.2">
      <c r="A28" s="12"/>
      <c r="B28" s="63"/>
    </row>
    <row r="29" spans="1:36" x14ac:dyDescent="0.2">
      <c r="A29" s="12"/>
      <c r="B29" s="63"/>
    </row>
    <row r="30" spans="1:36" x14ac:dyDescent="0.2">
      <c r="A30" s="12"/>
      <c r="B30" s="88"/>
    </row>
    <row r="31" spans="1:36" x14ac:dyDescent="0.2">
      <c r="A31" s="12"/>
      <c r="B31" s="88"/>
    </row>
    <row r="32" spans="1:36" x14ac:dyDescent="0.2">
      <c r="A32" s="12"/>
      <c r="B32" s="88"/>
    </row>
    <row r="33" spans="1:2" x14ac:dyDescent="0.2">
      <c r="A33" s="12"/>
      <c r="B33" s="88"/>
    </row>
    <row r="34" spans="1:2" x14ac:dyDescent="0.2">
      <c r="A34" s="12"/>
      <c r="B34" s="88"/>
    </row>
    <row r="35" spans="1:2" x14ac:dyDescent="0.2">
      <c r="A35" s="12"/>
      <c r="B35" s="88"/>
    </row>
    <row r="36" spans="1:2" ht="15" x14ac:dyDescent="0.2">
      <c r="A36" s="43"/>
      <c r="B36" s="88"/>
    </row>
    <row r="37" spans="1:2" x14ac:dyDescent="0.2">
      <c r="A37" s="12"/>
      <c r="B37" s="88"/>
    </row>
    <row r="38" spans="1:2" x14ac:dyDescent="0.2">
      <c r="A38" s="12"/>
      <c r="B38" s="88"/>
    </row>
    <row r="39" spans="1:2" x14ac:dyDescent="0.2">
      <c r="A39" s="12"/>
      <c r="B39" s="88"/>
    </row>
    <row r="40" spans="1:2" x14ac:dyDescent="0.2">
      <c r="A40" s="12"/>
      <c r="B40" s="88"/>
    </row>
    <row r="41" spans="1:2" x14ac:dyDescent="0.2">
      <c r="A41" s="12"/>
      <c r="B41" s="88"/>
    </row>
    <row r="42" spans="1:2" x14ac:dyDescent="0.2">
      <c r="A42" s="12"/>
      <c r="B42" s="88"/>
    </row>
    <row r="43" spans="1:2" x14ac:dyDescent="0.2">
      <c r="B43" s="88"/>
    </row>
  </sheetData>
  <mergeCells count="8">
    <mergeCell ref="C25:D25"/>
    <mergeCell ref="E25:L25"/>
    <mergeCell ref="W6:AC6"/>
    <mergeCell ref="AE6:AJ6"/>
    <mergeCell ref="B9:B11"/>
    <mergeCell ref="B12:B14"/>
    <mergeCell ref="B15:B17"/>
    <mergeCell ref="E6:U6"/>
  </mergeCells>
  <phoneticPr fontId="30"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J28"/>
  <sheetViews>
    <sheetView topLeftCell="A4" zoomScale="95" workbookViewId="0">
      <pane xSplit="4" topLeftCell="Z1" activePane="topRight" state="frozen"/>
      <selection pane="topRight" activeCell="AJ18" sqref="AJ18"/>
    </sheetView>
  </sheetViews>
  <sheetFormatPr baseColWidth="10" defaultColWidth="1.85546875" defaultRowHeight="11.25" x14ac:dyDescent="0.2"/>
  <cols>
    <col min="1" max="1" width="1.85546875" style="54" customWidth="1"/>
    <col min="2" max="2" width="5.28515625" style="54" customWidth="1"/>
    <col min="3" max="3" width="11.42578125" style="54" customWidth="1"/>
    <col min="4" max="4" width="41.85546875" style="54" customWidth="1"/>
    <col min="5" max="258" width="11.42578125" style="54" customWidth="1"/>
    <col min="259" max="16384" width="1.85546875" style="54"/>
  </cols>
  <sheetData>
    <row r="1" spans="2:36" s="2" customFormat="1" ht="39.75" customHeight="1" x14ac:dyDescent="0.2"/>
    <row r="2" spans="2:36" s="2" customFormat="1" ht="14.25" x14ac:dyDescent="0.2"/>
    <row r="3" spans="2:36" s="2" customFormat="1" ht="17.25" customHeight="1" x14ac:dyDescent="0.2">
      <c r="C3" s="328" t="s">
        <v>63</v>
      </c>
      <c r="D3" s="328"/>
      <c r="E3" s="6"/>
    </row>
    <row r="4" spans="2:36" s="2" customFormat="1" ht="14.25" x14ac:dyDescent="0.2">
      <c r="B4" s="7"/>
      <c r="C4" s="8"/>
      <c r="D4" s="8"/>
      <c r="E4" s="8"/>
      <c r="F4" s="7"/>
      <c r="G4" s="7"/>
    </row>
    <row r="5" spans="2:36" s="2" customFormat="1" ht="16.5" thickBot="1" x14ac:dyDescent="0.25">
      <c r="B5" s="7"/>
      <c r="C5" s="48" t="s">
        <v>103</v>
      </c>
      <c r="D5" s="8"/>
      <c r="E5" s="8"/>
      <c r="F5" s="7"/>
      <c r="G5" s="7"/>
    </row>
    <row r="6" spans="2:36" s="2" customFormat="1" ht="30" customHeight="1" thickBot="1" x14ac:dyDescent="0.25">
      <c r="B6" s="7"/>
      <c r="C6" s="8"/>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2:36" s="12" customFormat="1" ht="19.149999999999999" customHeight="1" thickBot="1" x14ac:dyDescent="0.3">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2:36" ht="12.75" customHeight="1" thickBot="1" x14ac:dyDescent="0.25">
      <c r="C8" s="98"/>
      <c r="E8" s="110"/>
      <c r="F8" s="110"/>
      <c r="G8" s="110"/>
      <c r="H8" s="110"/>
      <c r="I8" s="110"/>
      <c r="J8" s="110"/>
      <c r="K8" s="110"/>
      <c r="L8" s="110"/>
      <c r="M8" s="110"/>
      <c r="N8" s="110"/>
    </row>
    <row r="9" spans="2:36" s="66" customFormat="1" ht="24" customHeight="1" thickTop="1" thickBot="1" x14ac:dyDescent="0.3">
      <c r="B9" s="338" t="s">
        <v>2</v>
      </c>
      <c r="C9" s="111" t="s">
        <v>121</v>
      </c>
      <c r="D9" s="67"/>
      <c r="E9" s="101">
        <f>101183+4604</f>
        <v>105787</v>
      </c>
      <c r="F9" s="101">
        <v>97986</v>
      </c>
      <c r="G9" s="101">
        <v>86575</v>
      </c>
      <c r="H9" s="101">
        <v>77668</v>
      </c>
      <c r="I9" s="101">
        <v>69665</v>
      </c>
      <c r="J9" s="101">
        <v>62381</v>
      </c>
      <c r="K9" s="101">
        <v>56434</v>
      </c>
      <c r="L9" s="101">
        <v>51069</v>
      </c>
      <c r="M9" s="101">
        <v>46655</v>
      </c>
      <c r="N9" s="101">
        <v>42846</v>
      </c>
      <c r="O9" s="101">
        <v>39749</v>
      </c>
      <c r="P9" s="101">
        <v>37022</v>
      </c>
      <c r="Q9" s="101">
        <v>35175</v>
      </c>
      <c r="R9" s="101">
        <v>33843</v>
      </c>
      <c r="S9" s="101">
        <v>32603</v>
      </c>
      <c r="T9" s="101">
        <v>32517</v>
      </c>
      <c r="U9" s="101">
        <v>32456</v>
      </c>
      <c r="W9" s="298" t="s">
        <v>89</v>
      </c>
      <c r="X9" s="298"/>
      <c r="Y9" s="23">
        <v>22198</v>
      </c>
      <c r="Z9" s="23">
        <v>22045</v>
      </c>
      <c r="AA9" s="23">
        <v>22490</v>
      </c>
      <c r="AB9" s="23">
        <f>'[10]Effectifs DP_DD'!$D$26</f>
        <v>22680</v>
      </c>
      <c r="AC9" s="23">
        <f>'[19]Effectifs DP_DD'!$D$26</f>
        <v>23095</v>
      </c>
      <c r="AE9" s="154"/>
      <c r="AF9" s="154"/>
      <c r="AG9" s="154">
        <f t="shared" ref="AG9:AJ11" si="0">Z9/Y9-1</f>
        <v>-6.8925128389945023E-3</v>
      </c>
      <c r="AH9" s="154">
        <f t="shared" si="0"/>
        <v>2.018598321614884E-2</v>
      </c>
      <c r="AI9" s="154">
        <f t="shared" si="0"/>
        <v>8.4481991996443462E-3</v>
      </c>
      <c r="AJ9" s="154">
        <f t="shared" si="0"/>
        <v>1.8298059964726665E-2</v>
      </c>
    </row>
    <row r="10" spans="2:36" s="66" customFormat="1" ht="24" customHeight="1" thickBot="1" x14ac:dyDescent="0.3">
      <c r="B10" s="339"/>
      <c r="C10" s="102" t="s">
        <v>64</v>
      </c>
      <c r="D10" s="69"/>
      <c r="E10" s="23">
        <f>988367+32244</f>
        <v>1020611</v>
      </c>
      <c r="F10" s="23">
        <v>1068887</v>
      </c>
      <c r="G10" s="23">
        <v>1117173</v>
      </c>
      <c r="H10" s="23">
        <v>1179718</v>
      </c>
      <c r="I10" s="23">
        <v>1243457</v>
      </c>
      <c r="J10" s="23">
        <v>1309926</v>
      </c>
      <c r="K10" s="23">
        <v>1363448</v>
      </c>
      <c r="L10" s="23">
        <v>1414090</v>
      </c>
      <c r="M10" s="23">
        <v>1450876</v>
      </c>
      <c r="N10" s="23">
        <v>1421715</v>
      </c>
      <c r="O10" s="23">
        <v>1403686</v>
      </c>
      <c r="P10" s="23">
        <v>1380888</v>
      </c>
      <c r="Q10" s="23">
        <v>1362532</v>
      </c>
      <c r="R10" s="23">
        <v>1340430</v>
      </c>
      <c r="S10" s="23">
        <v>1306549</v>
      </c>
      <c r="T10" s="23">
        <v>1284762</v>
      </c>
      <c r="U10" s="23">
        <v>1266578</v>
      </c>
      <c r="W10" s="23">
        <v>1431334</v>
      </c>
      <c r="X10" s="23">
        <v>1374448</v>
      </c>
      <c r="Y10" s="23">
        <v>1342633</v>
      </c>
      <c r="Z10" s="23">
        <v>1302199</v>
      </c>
      <c r="AA10" s="23">
        <v>1275202</v>
      </c>
      <c r="AB10" s="23">
        <f>[5]recto!$E$47</f>
        <v>1243513</v>
      </c>
      <c r="AC10" s="23">
        <f>[18]recto!$E$47</f>
        <v>1215564</v>
      </c>
      <c r="AE10" s="154">
        <f>X10/W10-1</f>
        <v>-3.9743344320752549E-2</v>
      </c>
      <c r="AF10" s="154">
        <f>Y10/X10-1</f>
        <v>-2.3147474477026364E-2</v>
      </c>
      <c r="AG10" s="154">
        <f t="shared" si="0"/>
        <v>-3.0115452249423358E-2</v>
      </c>
      <c r="AH10" s="154">
        <f t="shared" si="0"/>
        <v>-2.073185434791458E-2</v>
      </c>
      <c r="AI10" s="154">
        <f t="shared" si="0"/>
        <v>-2.4850180598838478E-2</v>
      </c>
      <c r="AJ10" s="154">
        <f t="shared" si="0"/>
        <v>-2.2475840622494525E-2</v>
      </c>
    </row>
    <row r="11" spans="2:36" s="66" customFormat="1" ht="24" customHeight="1" thickBot="1" x14ac:dyDescent="0.3">
      <c r="B11" s="340"/>
      <c r="C11" s="112" t="s">
        <v>65</v>
      </c>
      <c r="D11" s="72"/>
      <c r="E11" s="113">
        <v>1128398</v>
      </c>
      <c r="F11" s="113">
        <v>1166873</v>
      </c>
      <c r="G11" s="113">
        <v>1203748</v>
      </c>
      <c r="H11" s="113">
        <v>1257386</v>
      </c>
      <c r="I11" s="113">
        <v>1313122</v>
      </c>
      <c r="J11" s="113">
        <v>1372307</v>
      </c>
      <c r="K11" s="113">
        <v>1419882</v>
      </c>
      <c r="L11" s="113">
        <v>1465159</v>
      </c>
      <c r="M11" s="113">
        <v>1497531</v>
      </c>
      <c r="N11" s="113">
        <v>1464561</v>
      </c>
      <c r="O11" s="113">
        <f t="shared" ref="O11:T11" si="1">SUM(O9:O10)</f>
        <v>1443435</v>
      </c>
      <c r="P11" s="113">
        <f t="shared" si="1"/>
        <v>1417910</v>
      </c>
      <c r="Q11" s="113">
        <f t="shared" si="1"/>
        <v>1397707</v>
      </c>
      <c r="R11" s="113">
        <f t="shared" si="1"/>
        <v>1374273</v>
      </c>
      <c r="S11" s="113">
        <f t="shared" si="1"/>
        <v>1339152</v>
      </c>
      <c r="T11" s="113">
        <f t="shared" si="1"/>
        <v>1317279</v>
      </c>
      <c r="U11" s="113">
        <f>SUM(U9:U10)</f>
        <v>1299034</v>
      </c>
      <c r="W11" s="232" t="s">
        <v>89</v>
      </c>
      <c r="X11" s="232"/>
      <c r="Y11" s="113">
        <v>1364831</v>
      </c>
      <c r="Z11" s="113">
        <v>1324244</v>
      </c>
      <c r="AA11" s="113">
        <v>1297692</v>
      </c>
      <c r="AB11" s="113">
        <f>SUM(AB9:AB10)</f>
        <v>1266193</v>
      </c>
      <c r="AC11" s="113">
        <f>SUM(AC9:AC10)</f>
        <v>1238659</v>
      </c>
      <c r="AE11" s="167"/>
      <c r="AF11" s="167"/>
      <c r="AG11" s="167">
        <f t="shared" si="0"/>
        <v>-2.9737747750454124E-2</v>
      </c>
      <c r="AH11" s="167">
        <f t="shared" si="0"/>
        <v>-2.0050685523211764E-2</v>
      </c>
      <c r="AI11" s="167">
        <f t="shared" si="0"/>
        <v>-2.4273094077793544E-2</v>
      </c>
      <c r="AJ11" s="167">
        <f t="shared" si="0"/>
        <v>-2.1745500093587666E-2</v>
      </c>
    </row>
    <row r="12" spans="2:36" s="66" customFormat="1" ht="24" customHeight="1" thickTop="1" thickBot="1" x14ac:dyDescent="0.3">
      <c r="B12" s="338" t="s">
        <v>11</v>
      </c>
      <c r="C12" s="111" t="str">
        <f>C9</f>
        <v>Minimum AVTS / Minimum des pensions de reversion</v>
      </c>
      <c r="D12" s="67"/>
      <c r="E12" s="101">
        <f>779475+18295</f>
        <v>797770</v>
      </c>
      <c r="F12" s="101">
        <v>774287</v>
      </c>
      <c r="G12" s="101">
        <v>743892</v>
      </c>
      <c r="H12" s="101">
        <v>721324</v>
      </c>
      <c r="I12" s="101">
        <v>696002</v>
      </c>
      <c r="J12" s="101">
        <v>670164</v>
      </c>
      <c r="K12" s="101">
        <v>647751</v>
      </c>
      <c r="L12" s="101">
        <v>624042</v>
      </c>
      <c r="M12" s="101">
        <v>602498</v>
      </c>
      <c r="N12" s="101">
        <v>581746</v>
      </c>
      <c r="O12" s="101">
        <v>562580</v>
      </c>
      <c r="P12" s="101">
        <v>539010</v>
      </c>
      <c r="Q12" s="101">
        <v>522061</v>
      </c>
      <c r="R12" s="101">
        <v>507147</v>
      </c>
      <c r="S12" s="101">
        <v>470211</v>
      </c>
      <c r="T12" s="101">
        <v>475820</v>
      </c>
      <c r="U12" s="101">
        <v>480484</v>
      </c>
      <c r="W12" s="234"/>
      <c r="X12" s="234"/>
      <c r="Y12" s="23">
        <v>423404</v>
      </c>
      <c r="Z12" s="23">
        <v>416143</v>
      </c>
      <c r="AA12" s="23">
        <v>413596</v>
      </c>
      <c r="AB12" s="23">
        <f>'[10]Effectifs DP_DD'!$E$26</f>
        <v>412150</v>
      </c>
      <c r="AC12" s="23">
        <f>'[19]Effectifs DP_DD'!$E$26</f>
        <v>410598</v>
      </c>
      <c r="AE12" s="154"/>
      <c r="AF12" s="154"/>
      <c r="AG12" s="154">
        <f t="shared" ref="AG12:AJ14" si="2">Z12/Y12-1</f>
        <v>-1.7149105818556221E-2</v>
      </c>
      <c r="AH12" s="154">
        <f t="shared" si="2"/>
        <v>-6.1204922346405066E-3</v>
      </c>
      <c r="AI12" s="154">
        <f t="shared" si="2"/>
        <v>-3.4961653400903403E-3</v>
      </c>
      <c r="AJ12" s="154">
        <f t="shared" si="2"/>
        <v>-3.7656193133568383E-3</v>
      </c>
    </row>
    <row r="13" spans="2:36" s="66" customFormat="1" ht="24" customHeight="1" thickBot="1" x14ac:dyDescent="0.3">
      <c r="B13" s="339"/>
      <c r="C13" s="102" t="s">
        <v>64</v>
      </c>
      <c r="D13" s="69"/>
      <c r="E13" s="23">
        <f>2344713+42091</f>
        <v>2386804</v>
      </c>
      <c r="F13" s="23">
        <v>2506374</v>
      </c>
      <c r="G13" s="23">
        <v>2623759</v>
      </c>
      <c r="H13" s="23">
        <v>2760301</v>
      </c>
      <c r="I13" s="23">
        <v>2908210</v>
      </c>
      <c r="J13" s="23">
        <v>3059770</v>
      </c>
      <c r="K13" s="23">
        <v>3201815</v>
      </c>
      <c r="L13" s="23">
        <v>3335603</v>
      </c>
      <c r="M13" s="23">
        <v>3447112</v>
      </c>
      <c r="N13" s="23">
        <v>3455910</v>
      </c>
      <c r="O13" s="23">
        <v>3494945</v>
      </c>
      <c r="P13" s="23">
        <v>3519871</v>
      </c>
      <c r="Q13" s="23">
        <v>3536964</v>
      </c>
      <c r="R13" s="23">
        <v>3532432</v>
      </c>
      <c r="S13" s="23">
        <v>3518173</v>
      </c>
      <c r="T13" s="23">
        <v>3509333</v>
      </c>
      <c r="U13" s="23">
        <v>3495289</v>
      </c>
      <c r="W13" s="23">
        <v>3581185</v>
      </c>
      <c r="X13" s="23">
        <v>3525917</v>
      </c>
      <c r="Y13" s="23">
        <v>3496448</v>
      </c>
      <c r="Z13" s="23">
        <v>3442215</v>
      </c>
      <c r="AA13" s="23">
        <v>3411220</v>
      </c>
      <c r="AB13" s="23">
        <f>[5]recto!$F$47</f>
        <v>3361751</v>
      </c>
      <c r="AC13" s="23">
        <f>[18]recto!$F$47</f>
        <v>3324653</v>
      </c>
      <c r="AE13" s="154">
        <f>X13/W13-1</f>
        <v>-1.5432880457167064E-2</v>
      </c>
      <c r="AF13" s="154">
        <f>Y13/X13-1</f>
        <v>-8.3578257797900513E-3</v>
      </c>
      <c r="AG13" s="154">
        <f t="shared" si="2"/>
        <v>-1.5510884188753793E-2</v>
      </c>
      <c r="AH13" s="154">
        <f t="shared" si="2"/>
        <v>-9.0043765424298039E-3</v>
      </c>
      <c r="AI13" s="154">
        <f t="shared" si="2"/>
        <v>-1.4501849778085218E-2</v>
      </c>
      <c r="AJ13" s="154">
        <f t="shared" si="2"/>
        <v>-1.1035320581446961E-2</v>
      </c>
    </row>
    <row r="14" spans="2:36" s="66" customFormat="1" ht="24" customHeight="1" thickBot="1" x14ac:dyDescent="0.3">
      <c r="B14" s="340"/>
      <c r="C14" s="112" t="s">
        <v>65</v>
      </c>
      <c r="D14" s="72"/>
      <c r="E14" s="113">
        <v>3184574</v>
      </c>
      <c r="F14" s="113">
        <v>3280661</v>
      </c>
      <c r="G14" s="113">
        <v>3367651</v>
      </c>
      <c r="H14" s="113">
        <v>3481625</v>
      </c>
      <c r="I14" s="113">
        <v>3604212</v>
      </c>
      <c r="J14" s="113">
        <v>3729934</v>
      </c>
      <c r="K14" s="113">
        <v>3849566</v>
      </c>
      <c r="L14" s="113">
        <v>3959645</v>
      </c>
      <c r="M14" s="113">
        <v>4049610</v>
      </c>
      <c r="N14" s="113">
        <v>4037656</v>
      </c>
      <c r="O14" s="113">
        <f t="shared" ref="O14:T14" si="3">SUM(O12:O13)</f>
        <v>4057525</v>
      </c>
      <c r="P14" s="113">
        <f t="shared" si="3"/>
        <v>4058881</v>
      </c>
      <c r="Q14" s="113">
        <f t="shared" si="3"/>
        <v>4059025</v>
      </c>
      <c r="R14" s="113">
        <f t="shared" si="3"/>
        <v>4039579</v>
      </c>
      <c r="S14" s="113">
        <f t="shared" si="3"/>
        <v>3988384</v>
      </c>
      <c r="T14" s="113">
        <f t="shared" si="3"/>
        <v>3985153</v>
      </c>
      <c r="U14" s="113">
        <f>SUM(U12:U13)</f>
        <v>3975773</v>
      </c>
      <c r="W14" s="232" t="s">
        <v>89</v>
      </c>
      <c r="X14" s="232"/>
      <c r="Y14" s="113">
        <v>3919852</v>
      </c>
      <c r="Z14" s="113">
        <v>3858358</v>
      </c>
      <c r="AA14" s="113">
        <v>3824816</v>
      </c>
      <c r="AB14" s="113">
        <f>SUM(AB12:AB13)</f>
        <v>3773901</v>
      </c>
      <c r="AC14" s="113">
        <f>SUM(AC12:AC13)</f>
        <v>3735251</v>
      </c>
      <c r="AE14" s="167"/>
      <c r="AF14" s="167"/>
      <c r="AG14" s="167">
        <f t="shared" si="2"/>
        <v>-1.5687837193853249E-2</v>
      </c>
      <c r="AH14" s="167">
        <f t="shared" si="2"/>
        <v>-8.6933353514629941E-3</v>
      </c>
      <c r="AI14" s="167">
        <f t="shared" si="2"/>
        <v>-1.3311751467260158E-2</v>
      </c>
      <c r="AJ14" s="167">
        <f t="shared" si="2"/>
        <v>-1.0241392129788252E-2</v>
      </c>
    </row>
    <row r="15" spans="2:36" s="66" customFormat="1" ht="24" customHeight="1" thickTop="1" thickBot="1" x14ac:dyDescent="0.3">
      <c r="B15" s="341" t="s">
        <v>14</v>
      </c>
      <c r="C15" s="111" t="str">
        <f>C12</f>
        <v>Minimum AVTS / Minimum des pensions de reversion</v>
      </c>
      <c r="D15" s="67"/>
      <c r="E15" s="101">
        <v>903557</v>
      </c>
      <c r="F15" s="101">
        <v>872273</v>
      </c>
      <c r="G15" s="101">
        <v>830467</v>
      </c>
      <c r="H15" s="101">
        <v>798992</v>
      </c>
      <c r="I15" s="101">
        <v>765667</v>
      </c>
      <c r="J15" s="101">
        <v>732545</v>
      </c>
      <c r="K15" s="101">
        <v>704185</v>
      </c>
      <c r="L15" s="101">
        <v>675111</v>
      </c>
      <c r="M15" s="101">
        <v>649153</v>
      </c>
      <c r="N15" s="101">
        <v>624592</v>
      </c>
      <c r="O15" s="101">
        <f t="shared" ref="O15:T16" si="4">O9+O12</f>
        <v>602329</v>
      </c>
      <c r="P15" s="101">
        <f t="shared" si="4"/>
        <v>576032</v>
      </c>
      <c r="Q15" s="101">
        <f t="shared" si="4"/>
        <v>557236</v>
      </c>
      <c r="R15" s="101">
        <f t="shared" si="4"/>
        <v>540990</v>
      </c>
      <c r="S15" s="101">
        <f t="shared" si="4"/>
        <v>502814</v>
      </c>
      <c r="T15" s="101">
        <f t="shared" si="4"/>
        <v>508337</v>
      </c>
      <c r="U15" s="101">
        <f>U9+U12</f>
        <v>512940</v>
      </c>
      <c r="W15" s="234"/>
      <c r="X15" s="234"/>
      <c r="Y15" s="101">
        <v>445602</v>
      </c>
      <c r="Z15" s="101">
        <v>438188</v>
      </c>
      <c r="AA15" s="101">
        <v>436086</v>
      </c>
      <c r="AB15" s="101">
        <f t="shared" ref="AB15:AC15" si="5">AB9+AB12</f>
        <v>434830</v>
      </c>
      <c r="AC15" s="101">
        <f t="shared" si="5"/>
        <v>433693</v>
      </c>
      <c r="AE15" s="173"/>
      <c r="AF15" s="173"/>
      <c r="AG15" s="154">
        <f t="shared" ref="AG15:AJ17" si="6">Z15/Y15-1</f>
        <v>-1.6638165896921464E-2</v>
      </c>
      <c r="AH15" s="154">
        <f t="shared" si="6"/>
        <v>-4.7970277597743083E-3</v>
      </c>
      <c r="AI15" s="154">
        <f t="shared" si="6"/>
        <v>-2.8801658388483142E-3</v>
      </c>
      <c r="AJ15" s="154">
        <f t="shared" si="6"/>
        <v>-2.6148149851665803E-3</v>
      </c>
    </row>
    <row r="16" spans="2:36" s="66" customFormat="1" ht="24" customHeight="1" thickBot="1" x14ac:dyDescent="0.3">
      <c r="B16" s="342"/>
      <c r="C16" s="102" t="s">
        <v>64</v>
      </c>
      <c r="D16" s="69"/>
      <c r="E16" s="23">
        <v>3409415</v>
      </c>
      <c r="F16" s="23">
        <v>3575261</v>
      </c>
      <c r="G16" s="23">
        <v>3740932</v>
      </c>
      <c r="H16" s="23">
        <v>3940019</v>
      </c>
      <c r="I16" s="23">
        <v>4151667</v>
      </c>
      <c r="J16" s="23">
        <v>4369696</v>
      </c>
      <c r="K16" s="23">
        <v>4565263</v>
      </c>
      <c r="L16" s="23">
        <v>4749693</v>
      </c>
      <c r="M16" s="23">
        <v>4897988</v>
      </c>
      <c r="N16" s="23">
        <v>4877625</v>
      </c>
      <c r="O16" s="23">
        <f t="shared" si="4"/>
        <v>4898631</v>
      </c>
      <c r="P16" s="23">
        <f t="shared" si="4"/>
        <v>4900759</v>
      </c>
      <c r="Q16" s="23">
        <f t="shared" si="4"/>
        <v>4899496</v>
      </c>
      <c r="R16" s="23">
        <f t="shared" si="4"/>
        <v>4872862</v>
      </c>
      <c r="S16" s="23">
        <f t="shared" si="4"/>
        <v>4824722</v>
      </c>
      <c r="T16" s="23">
        <f t="shared" si="4"/>
        <v>4794095</v>
      </c>
      <c r="U16" s="23">
        <f>U10+U13</f>
        <v>4761867</v>
      </c>
      <c r="W16" s="23">
        <v>5012519</v>
      </c>
      <c r="X16" s="23">
        <v>4900365</v>
      </c>
      <c r="Y16" s="23">
        <v>4839081</v>
      </c>
      <c r="Z16" s="23">
        <v>4744414</v>
      </c>
      <c r="AA16" s="23">
        <v>4686422</v>
      </c>
      <c r="AB16" s="23">
        <f t="shared" ref="AB16:AC16" si="7">AB10+AB13</f>
        <v>4605264</v>
      </c>
      <c r="AC16" s="23">
        <f t="shared" si="7"/>
        <v>4540217</v>
      </c>
      <c r="AE16" s="154">
        <f>X16/W16-1</f>
        <v>-2.2374778030766596E-2</v>
      </c>
      <c r="AF16" s="154">
        <f>Y16/X16-1</f>
        <v>-1.2506007205585701E-2</v>
      </c>
      <c r="AG16" s="154">
        <f t="shared" si="6"/>
        <v>-1.9563012067787211E-2</v>
      </c>
      <c r="AH16" s="154">
        <f t="shared" si="6"/>
        <v>-1.2223216607994192E-2</v>
      </c>
      <c r="AI16" s="154">
        <f t="shared" si="6"/>
        <v>-1.7317689273394499E-2</v>
      </c>
      <c r="AJ16" s="154">
        <f t="shared" si="6"/>
        <v>-1.4124488845807748E-2</v>
      </c>
    </row>
    <row r="17" spans="2:36" s="66" customFormat="1" ht="27" customHeight="1" thickBot="1" x14ac:dyDescent="0.3">
      <c r="B17" s="343"/>
      <c r="C17" s="112" t="s">
        <v>65</v>
      </c>
      <c r="D17" s="72"/>
      <c r="E17" s="113">
        <f>E11+E14</f>
        <v>4312972</v>
      </c>
      <c r="F17" s="113">
        <f t="shared" ref="F17:N17" si="8">F11+F14</f>
        <v>4447534</v>
      </c>
      <c r="G17" s="113">
        <f t="shared" si="8"/>
        <v>4571399</v>
      </c>
      <c r="H17" s="113">
        <f t="shared" si="8"/>
        <v>4739011</v>
      </c>
      <c r="I17" s="113">
        <f t="shared" si="8"/>
        <v>4917334</v>
      </c>
      <c r="J17" s="113">
        <f t="shared" si="8"/>
        <v>5102241</v>
      </c>
      <c r="K17" s="113">
        <f t="shared" si="8"/>
        <v>5269448</v>
      </c>
      <c r="L17" s="113">
        <f t="shared" si="8"/>
        <v>5424804</v>
      </c>
      <c r="M17" s="113">
        <f t="shared" si="8"/>
        <v>5547141</v>
      </c>
      <c r="N17" s="113">
        <f t="shared" si="8"/>
        <v>5502217</v>
      </c>
      <c r="O17" s="113">
        <f t="shared" ref="O17:T17" si="9">SUM(O15:O16)</f>
        <v>5500960</v>
      </c>
      <c r="P17" s="113">
        <f t="shared" si="9"/>
        <v>5476791</v>
      </c>
      <c r="Q17" s="113">
        <f t="shared" si="9"/>
        <v>5456732</v>
      </c>
      <c r="R17" s="113">
        <f t="shared" si="9"/>
        <v>5413852</v>
      </c>
      <c r="S17" s="113">
        <f t="shared" si="9"/>
        <v>5327536</v>
      </c>
      <c r="T17" s="113">
        <f t="shared" si="9"/>
        <v>5302432</v>
      </c>
      <c r="U17" s="113">
        <f>SUM(U15:U16)</f>
        <v>5274807</v>
      </c>
      <c r="W17" s="298" t="s">
        <v>89</v>
      </c>
      <c r="X17" s="298"/>
      <c r="Y17" s="113">
        <v>5284683</v>
      </c>
      <c r="Z17" s="113">
        <v>5182602</v>
      </c>
      <c r="AA17" s="113">
        <v>5122508</v>
      </c>
      <c r="AB17" s="113">
        <f>SUM(AB15:AB16)</f>
        <v>5040094</v>
      </c>
      <c r="AC17" s="113">
        <f>SUM(AC15:AC16)</f>
        <v>4973910</v>
      </c>
      <c r="AE17" s="167"/>
      <c r="AF17" s="167"/>
      <c r="AG17" s="167">
        <f t="shared" si="6"/>
        <v>-1.9316390406009187E-2</v>
      </c>
      <c r="AH17" s="167">
        <f t="shared" si="6"/>
        <v>-1.1595333772494998E-2</v>
      </c>
      <c r="AI17" s="167">
        <f t="shared" si="6"/>
        <v>-1.6088603473142449E-2</v>
      </c>
      <c r="AJ17" s="167">
        <f>AC17/AB17-1</f>
        <v>-1.3131501118828326E-2</v>
      </c>
    </row>
    <row r="18" spans="2:36" s="156" customFormat="1" ht="12.75" thickTop="1" x14ac:dyDescent="0.2">
      <c r="B18" s="155" t="s">
        <v>85</v>
      </c>
      <c r="E18" s="161"/>
      <c r="F18" s="161"/>
      <c r="G18" s="161"/>
      <c r="H18" s="161"/>
      <c r="I18" s="161"/>
      <c r="J18" s="161"/>
      <c r="K18" s="161"/>
      <c r="L18" s="161"/>
      <c r="M18" s="161"/>
      <c r="N18" s="161"/>
    </row>
    <row r="19" spans="2:36" s="156" customFormat="1" ht="12" x14ac:dyDescent="0.2">
      <c r="B19" s="155" t="s">
        <v>117</v>
      </c>
    </row>
    <row r="20" spans="2:36" s="156" customFormat="1" ht="12" x14ac:dyDescent="0.2">
      <c r="B20" s="155" t="s">
        <v>107</v>
      </c>
    </row>
    <row r="21" spans="2:36" s="156" customFormat="1" ht="12" x14ac:dyDescent="0.2">
      <c r="B21" s="155" t="s">
        <v>15</v>
      </c>
      <c r="E21" s="161"/>
      <c r="F21" s="161"/>
      <c r="G21" s="161"/>
      <c r="H21" s="161"/>
      <c r="I21" s="161"/>
      <c r="J21" s="161"/>
      <c r="K21" s="161"/>
      <c r="L21" s="161"/>
      <c r="M21" s="161"/>
      <c r="N21" s="161"/>
    </row>
    <row r="22" spans="2:36" ht="12.75" x14ac:dyDescent="0.2">
      <c r="B22" s="47"/>
    </row>
    <row r="23" spans="2:36" ht="13.5" thickBot="1" x14ac:dyDescent="0.25">
      <c r="C23" s="49" t="s">
        <v>34</v>
      </c>
    </row>
    <row r="24" spans="2:36" ht="123.75" customHeight="1" x14ac:dyDescent="0.2">
      <c r="C24" s="318" t="s">
        <v>66</v>
      </c>
      <c r="D24" s="319"/>
      <c r="E24" s="292" t="s">
        <v>67</v>
      </c>
      <c r="F24" s="344"/>
      <c r="G24" s="344"/>
      <c r="H24" s="344"/>
      <c r="I24" s="344"/>
      <c r="J24" s="344"/>
      <c r="K24" s="344"/>
      <c r="L24" s="344"/>
      <c r="M24" s="345"/>
      <c r="N24" s="114"/>
    </row>
    <row r="25" spans="2:36" ht="24" customHeight="1" thickBot="1" x14ac:dyDescent="0.25">
      <c r="C25" s="346" t="s">
        <v>36</v>
      </c>
      <c r="D25" s="347"/>
      <c r="E25" s="295" t="s">
        <v>133</v>
      </c>
      <c r="F25" s="296"/>
      <c r="G25" s="296"/>
      <c r="H25" s="296"/>
      <c r="I25" s="296"/>
      <c r="J25" s="296"/>
      <c r="K25" s="296"/>
      <c r="L25" s="296"/>
      <c r="M25" s="297"/>
    </row>
    <row r="26" spans="2:36" ht="63.75" customHeight="1" x14ac:dyDescent="0.2">
      <c r="C26" s="318" t="s">
        <v>122</v>
      </c>
      <c r="D26" s="319"/>
      <c r="E26" s="292" t="s">
        <v>120</v>
      </c>
      <c r="F26" s="344"/>
      <c r="G26" s="344"/>
      <c r="H26" s="344"/>
      <c r="I26" s="344"/>
      <c r="J26" s="344"/>
      <c r="K26" s="344"/>
      <c r="L26" s="344"/>
      <c r="M26" s="345"/>
    </row>
    <row r="27" spans="2:36" ht="36.6" customHeight="1" thickBot="1" x14ac:dyDescent="0.25">
      <c r="C27" s="348" t="s">
        <v>36</v>
      </c>
      <c r="D27" s="349"/>
      <c r="E27" s="286" t="s">
        <v>142</v>
      </c>
      <c r="F27" s="296"/>
      <c r="G27" s="296"/>
      <c r="H27" s="296"/>
      <c r="I27" s="296"/>
      <c r="J27" s="296"/>
      <c r="K27" s="296"/>
      <c r="L27" s="296"/>
      <c r="M27" s="297"/>
      <c r="N27" s="114"/>
    </row>
    <row r="28" spans="2:36" ht="31.5" customHeight="1" thickBot="1" x14ac:dyDescent="0.25">
      <c r="C28" s="346"/>
      <c r="D28" s="350"/>
      <c r="E28" s="286" t="s">
        <v>143</v>
      </c>
      <c r="F28" s="296"/>
      <c r="G28" s="296"/>
      <c r="H28" s="296"/>
      <c r="I28" s="296"/>
      <c r="J28" s="296"/>
      <c r="K28" s="296"/>
      <c r="L28" s="296"/>
      <c r="M28" s="297"/>
    </row>
  </sheetData>
  <mergeCells count="20">
    <mergeCell ref="E28:M28"/>
    <mergeCell ref="C27:D28"/>
    <mergeCell ref="W17:X17"/>
    <mergeCell ref="W11:X12"/>
    <mergeCell ref="W14:X15"/>
    <mergeCell ref="E27:M27"/>
    <mergeCell ref="C3:D3"/>
    <mergeCell ref="W9:X9"/>
    <mergeCell ref="B9:B11"/>
    <mergeCell ref="W6:AC6"/>
    <mergeCell ref="AE6:AJ6"/>
    <mergeCell ref="B12:B14"/>
    <mergeCell ref="B15:B17"/>
    <mergeCell ref="E6:U6"/>
    <mergeCell ref="C26:D26"/>
    <mergeCell ref="E26:M26"/>
    <mergeCell ref="C24:D24"/>
    <mergeCell ref="E24:M24"/>
    <mergeCell ref="C25:D25"/>
    <mergeCell ref="E25:M25"/>
  </mergeCells>
  <phoneticPr fontId="17" type="noConversion"/>
  <hyperlinks>
    <hyperlink ref="E25" r:id="rId1" location="/expose?file_leaf_ref=retraite_personnelle_minimum_contributif_minimum_contributif_depuis_2012_ex.aspx" xr:uid="{00000000-0004-0000-0700-000000000000}"/>
    <hyperlink ref="E27" r:id="rId2" location="/expose?file_leaf_ref=ancienne_prestation_avts_montant_ex.aspx_x000a__x000a_"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J49"/>
  <sheetViews>
    <sheetView showGridLines="0" topLeftCell="A16" workbookViewId="0">
      <pane xSplit="4" topLeftCell="W1" activePane="topRight" state="frozen"/>
      <selection pane="topRight" activeCell="AC9" sqref="AC9"/>
    </sheetView>
  </sheetViews>
  <sheetFormatPr baseColWidth="10" defaultColWidth="1" defaultRowHeight="14.25" x14ac:dyDescent="0.2"/>
  <cols>
    <col min="1" max="1" width="1" style="2" customWidth="1"/>
    <col min="2" max="2" width="4.28515625" style="1" customWidth="1"/>
    <col min="3" max="3" width="31.28515625" style="2" customWidth="1"/>
    <col min="4" max="4" width="32.28515625" style="2" customWidth="1"/>
    <col min="5" max="15" width="12.42578125" style="2" customWidth="1"/>
    <col min="16" max="21" width="11.42578125" style="2" customWidth="1"/>
    <col min="22" max="22" width="5.85546875" style="2" customWidth="1"/>
    <col min="23" max="258" width="11.42578125" style="2" customWidth="1"/>
    <col min="259" max="16384" width="1" style="2"/>
  </cols>
  <sheetData>
    <row r="1" spans="2:36" ht="51" customHeight="1" x14ac:dyDescent="0.2"/>
    <row r="2" spans="2:36" ht="6.75" customHeight="1" x14ac:dyDescent="0.2"/>
    <row r="3" spans="2:36" ht="17.25" customHeight="1" x14ac:dyDescent="0.2">
      <c r="C3" s="190" t="s">
        <v>68</v>
      </c>
      <c r="D3" s="4"/>
      <c r="E3" s="5"/>
      <c r="F3" s="6"/>
    </row>
    <row r="4" spans="2:36" ht="7.9" customHeight="1" x14ac:dyDescent="0.2">
      <c r="C4" s="7"/>
      <c r="D4" s="8"/>
      <c r="E4" s="8"/>
      <c r="F4" s="8"/>
      <c r="G4" s="7"/>
      <c r="H4" s="7"/>
    </row>
    <row r="5" spans="2:36" ht="23.25" customHeight="1" thickBot="1" x14ac:dyDescent="0.25">
      <c r="C5" s="48" t="s">
        <v>103</v>
      </c>
      <c r="D5" s="8"/>
      <c r="E5" s="8"/>
      <c r="F5" s="8"/>
      <c r="G5" s="7"/>
      <c r="H5" s="7"/>
    </row>
    <row r="6" spans="2:36" ht="30" customHeight="1" thickBot="1" x14ac:dyDescent="0.25">
      <c r="C6" s="7"/>
      <c r="D6" s="8"/>
      <c r="E6" s="284" t="s">
        <v>0</v>
      </c>
      <c r="F6" s="285"/>
      <c r="G6" s="285"/>
      <c r="H6" s="285"/>
      <c r="I6" s="285"/>
      <c r="J6" s="285"/>
      <c r="K6" s="285"/>
      <c r="L6" s="285"/>
      <c r="M6" s="285"/>
      <c r="N6" s="285"/>
      <c r="O6" s="285"/>
      <c r="P6" s="285"/>
      <c r="Q6" s="285"/>
      <c r="R6" s="285"/>
      <c r="S6" s="285"/>
      <c r="T6" s="285"/>
      <c r="U6" s="285"/>
      <c r="W6" s="267" t="s">
        <v>109</v>
      </c>
      <c r="X6" s="268"/>
      <c r="Y6" s="268"/>
      <c r="Z6" s="268"/>
      <c r="AA6" s="268"/>
      <c r="AB6" s="268"/>
      <c r="AC6" s="269"/>
      <c r="AE6" s="270" t="s">
        <v>106</v>
      </c>
      <c r="AF6" s="271"/>
      <c r="AG6" s="271"/>
      <c r="AH6" s="271"/>
      <c r="AI6" s="271"/>
      <c r="AJ6" s="272"/>
    </row>
    <row r="7" spans="2:36" s="12" customFormat="1" ht="19.149999999999999" customHeight="1" thickBot="1" x14ac:dyDescent="0.3">
      <c r="B7" s="9"/>
      <c r="C7" s="10"/>
      <c r="D7" s="10"/>
      <c r="E7" s="53">
        <v>2003</v>
      </c>
      <c r="F7" s="53">
        <v>2004</v>
      </c>
      <c r="G7" s="53">
        <v>2005</v>
      </c>
      <c r="H7" s="53">
        <v>2006</v>
      </c>
      <c r="I7" s="53">
        <v>2007</v>
      </c>
      <c r="J7" s="53">
        <v>2008</v>
      </c>
      <c r="K7" s="53">
        <v>2009</v>
      </c>
      <c r="L7" s="53">
        <v>2010</v>
      </c>
      <c r="M7" s="53">
        <v>2011</v>
      </c>
      <c r="N7" s="53">
        <v>2012</v>
      </c>
      <c r="O7" s="53">
        <v>2013</v>
      </c>
      <c r="P7" s="53">
        <v>2014</v>
      </c>
      <c r="Q7" s="53">
        <v>2015</v>
      </c>
      <c r="R7" s="53">
        <v>2016</v>
      </c>
      <c r="S7" s="53">
        <v>2017</v>
      </c>
      <c r="T7" s="53">
        <v>2018</v>
      </c>
      <c r="U7" s="53">
        <v>2019</v>
      </c>
      <c r="W7" s="13" t="s">
        <v>1</v>
      </c>
      <c r="X7" s="13">
        <v>2020</v>
      </c>
      <c r="Y7" s="13">
        <v>2021</v>
      </c>
      <c r="Z7" s="13">
        <v>2022</v>
      </c>
      <c r="AA7" s="13">
        <v>2023</v>
      </c>
      <c r="AB7" s="13">
        <v>2024</v>
      </c>
      <c r="AC7" s="13">
        <v>2025</v>
      </c>
      <c r="AE7" s="145" t="s">
        <v>101</v>
      </c>
      <c r="AF7" s="145" t="s">
        <v>102</v>
      </c>
      <c r="AG7" s="145" t="s">
        <v>123</v>
      </c>
      <c r="AH7" s="145" t="s">
        <v>125</v>
      </c>
      <c r="AI7" s="145" t="s">
        <v>144</v>
      </c>
      <c r="AJ7" s="145" t="s">
        <v>145</v>
      </c>
    </row>
    <row r="8" spans="2:36" ht="12.75" customHeight="1" thickBot="1" x14ac:dyDescent="0.25">
      <c r="C8" s="14"/>
      <c r="D8" s="8"/>
      <c r="E8" s="15"/>
      <c r="F8" s="15"/>
      <c r="G8" s="15"/>
      <c r="H8" s="15"/>
      <c r="I8" s="15"/>
      <c r="J8" s="15"/>
      <c r="K8" s="15"/>
      <c r="L8" s="15"/>
      <c r="M8" s="15"/>
      <c r="N8" s="15"/>
      <c r="O8" s="15"/>
      <c r="P8" s="15"/>
      <c r="Q8" s="15"/>
      <c r="R8" s="15"/>
      <c r="S8" s="15"/>
      <c r="T8" s="15"/>
      <c r="U8" s="15"/>
      <c r="W8" s="15"/>
      <c r="X8" s="15"/>
      <c r="Y8" s="15"/>
      <c r="Z8" s="15"/>
      <c r="AA8" s="15"/>
      <c r="AB8" s="15"/>
      <c r="AC8" s="15"/>
      <c r="AE8" s="199"/>
      <c r="AF8" s="199"/>
      <c r="AG8" s="199"/>
      <c r="AH8" s="199"/>
      <c r="AI8" s="199"/>
      <c r="AJ8" s="199"/>
    </row>
    <row r="9" spans="2:36" s="12" customFormat="1" ht="12.75" customHeight="1" thickTop="1" thickBot="1" x14ac:dyDescent="0.3">
      <c r="B9" s="277" t="s">
        <v>2</v>
      </c>
      <c r="C9" s="126" t="s">
        <v>69</v>
      </c>
      <c r="D9" s="121"/>
      <c r="E9" s="122">
        <v>179057</v>
      </c>
      <c r="F9" s="122">
        <v>179943</v>
      </c>
      <c r="G9" s="122">
        <v>180903</v>
      </c>
      <c r="H9" s="122">
        <v>179263</v>
      </c>
      <c r="I9" s="122">
        <v>176365</v>
      </c>
      <c r="J9" s="122">
        <v>171903</v>
      </c>
      <c r="K9" s="122">
        <v>170338</v>
      </c>
      <c r="L9" s="122">
        <v>165337</v>
      </c>
      <c r="M9" s="122">
        <v>153300</v>
      </c>
      <c r="N9" s="122">
        <v>139807</v>
      </c>
      <c r="O9" s="122">
        <v>126102</v>
      </c>
      <c r="P9" s="122">
        <f>SUM([15]Hommes!$R$12)</f>
        <v>112309</v>
      </c>
      <c r="Q9" s="122">
        <f>SUM([16]Hommes!$R$12)</f>
        <v>104419</v>
      </c>
      <c r="R9" s="122">
        <v>95613</v>
      </c>
      <c r="S9" s="122">
        <v>80932</v>
      </c>
      <c r="T9" s="122">
        <v>76907</v>
      </c>
      <c r="U9" s="122">
        <v>70294</v>
      </c>
      <c r="V9" s="123"/>
      <c r="W9" s="354" t="s">
        <v>89</v>
      </c>
      <c r="X9" s="354"/>
      <c r="Y9" s="122">
        <v>60960</v>
      </c>
      <c r="Z9" s="122">
        <f>'[14]Compléments de pension'!$C$10</f>
        <v>52115</v>
      </c>
      <c r="AA9" s="122">
        <v>45273</v>
      </c>
      <c r="AB9" s="122">
        <f>[5]recto!$E$54</f>
        <v>38987</v>
      </c>
      <c r="AC9" s="122">
        <f>[18]recto!$E$54</f>
        <v>32364</v>
      </c>
      <c r="AE9" s="206"/>
      <c r="AF9" s="206"/>
      <c r="AG9" s="206">
        <f t="shared" ref="AG9:AJ10" si="0">Z9/Y9-1</f>
        <v>-0.14509514435695536</v>
      </c>
      <c r="AH9" s="206">
        <f t="shared" si="0"/>
        <v>-0.1312865777607215</v>
      </c>
      <c r="AI9" s="206">
        <f t="shared" si="0"/>
        <v>-0.13884655313321403</v>
      </c>
      <c r="AJ9" s="206">
        <f t="shared" si="0"/>
        <v>-0.16987713853335729</v>
      </c>
    </row>
    <row r="10" spans="2:36" s="12" customFormat="1" ht="12.75" customHeight="1" thickBot="1" x14ac:dyDescent="0.3">
      <c r="B10" s="339"/>
      <c r="C10" s="115" t="s">
        <v>70</v>
      </c>
      <c r="D10" s="20"/>
      <c r="E10" s="21">
        <v>2073306</v>
      </c>
      <c r="F10" s="21">
        <v>2140291</v>
      </c>
      <c r="G10" s="21">
        <v>2191714</v>
      </c>
      <c r="H10" s="21">
        <v>2249109</v>
      </c>
      <c r="I10" s="21">
        <v>2301818</v>
      </c>
      <c r="J10" s="21">
        <v>2350020</v>
      </c>
      <c r="K10" s="21">
        <v>2378983</v>
      </c>
      <c r="L10" s="21">
        <v>2411842</v>
      </c>
      <c r="M10" s="21">
        <v>2421398</v>
      </c>
      <c r="N10" s="21">
        <v>2419127</v>
      </c>
      <c r="O10" s="21">
        <v>2437850</v>
      </c>
      <c r="P10" s="21">
        <v>2441949</v>
      </c>
      <c r="Q10" s="21">
        <f>[16]Hommes!$R$13</f>
        <v>2443576</v>
      </c>
      <c r="R10" s="21">
        <f>[17]Hommes!$R$13</f>
        <v>2445466</v>
      </c>
      <c r="S10" s="21">
        <v>2424880</v>
      </c>
      <c r="T10" s="21">
        <v>2435640</v>
      </c>
      <c r="U10" s="21">
        <v>2435452</v>
      </c>
      <c r="W10" s="21">
        <v>2473696</v>
      </c>
      <c r="X10" s="21">
        <v>2434261</v>
      </c>
      <c r="Y10" s="21">
        <v>2412424</v>
      </c>
      <c r="Z10" s="21">
        <f>[12]recto!$E$52</f>
        <v>2400430</v>
      </c>
      <c r="AA10" s="21">
        <v>2400491</v>
      </c>
      <c r="AB10" s="21">
        <f>[5]recto!$E$52</f>
        <v>2390827</v>
      </c>
      <c r="AC10" s="21">
        <f>[18]recto!$E$52</f>
        <v>2386148</v>
      </c>
      <c r="AE10" s="168">
        <f>X10/W10-1</f>
        <v>-1.5941732533019448E-2</v>
      </c>
      <c r="AF10" s="168">
        <f>Y10/X10-1</f>
        <v>-8.9706896672131498E-3</v>
      </c>
      <c r="AG10" s="168">
        <f t="shared" si="0"/>
        <v>-4.9717628410262948E-3</v>
      </c>
      <c r="AH10" s="168">
        <f t="shared" si="0"/>
        <v>2.5412113662914848E-5</v>
      </c>
      <c r="AI10" s="168">
        <f t="shared" si="0"/>
        <v>-4.0258430462767336E-3</v>
      </c>
      <c r="AJ10" s="168">
        <f t="shared" si="0"/>
        <v>-1.9570633927088465E-3</v>
      </c>
    </row>
    <row r="11" spans="2:36" s="12" customFormat="1" ht="12.75" customHeight="1" thickBot="1" x14ac:dyDescent="0.3">
      <c r="B11" s="339"/>
      <c r="C11" s="115" t="s">
        <v>71</v>
      </c>
      <c r="D11" s="22"/>
      <c r="E11" s="23">
        <v>200</v>
      </c>
      <c r="F11" s="23">
        <v>244</v>
      </c>
      <c r="G11" s="23">
        <v>349</v>
      </c>
      <c r="H11" s="23">
        <v>463</v>
      </c>
      <c r="I11" s="23">
        <v>582</v>
      </c>
      <c r="J11" s="23">
        <v>593</v>
      </c>
      <c r="K11" s="23">
        <v>670</v>
      </c>
      <c r="L11" s="23">
        <v>626</v>
      </c>
      <c r="M11" s="23">
        <v>574</v>
      </c>
      <c r="N11" s="23">
        <v>578</v>
      </c>
      <c r="O11" s="23">
        <v>557</v>
      </c>
      <c r="P11" s="23">
        <v>533</v>
      </c>
      <c r="Q11" s="23">
        <f>[16]Hommes!$R$14</f>
        <v>527</v>
      </c>
      <c r="R11" s="23">
        <f>[17]Hommes!$R$14</f>
        <v>503</v>
      </c>
      <c r="S11" s="23">
        <v>488</v>
      </c>
      <c r="T11" s="23">
        <v>463</v>
      </c>
      <c r="U11" s="23">
        <v>454</v>
      </c>
      <c r="W11" s="21">
        <v>461</v>
      </c>
      <c r="X11" s="21">
        <v>464</v>
      </c>
      <c r="Y11" s="21">
        <v>420</v>
      </c>
      <c r="Z11" s="21">
        <f>[12]recto!$E$53</f>
        <v>369</v>
      </c>
      <c r="AA11" s="21">
        <v>329</v>
      </c>
      <c r="AB11" s="21">
        <f>[5]recto!$E$53</f>
        <v>311</v>
      </c>
      <c r="AC11" s="21">
        <f>[18]recto!$E$53</f>
        <v>303</v>
      </c>
      <c r="AE11" s="168">
        <f t="shared" ref="AE11:AE32" si="1">X11/W11-1</f>
        <v>6.5075921908894774E-3</v>
      </c>
      <c r="AF11" s="168">
        <f t="shared" ref="AF11:AJ32" si="2">Y11/X11-1</f>
        <v>-9.4827586206896575E-2</v>
      </c>
      <c r="AG11" s="168">
        <f t="shared" si="2"/>
        <v>-0.12142857142857144</v>
      </c>
      <c r="AH11" s="168">
        <f t="shared" si="2"/>
        <v>-0.10840108401084014</v>
      </c>
      <c r="AI11" s="168">
        <f t="shared" si="2"/>
        <v>-5.4711246200607855E-2</v>
      </c>
      <c r="AJ11" s="168">
        <f t="shared" si="2"/>
        <v>-2.5723472668810254E-2</v>
      </c>
    </row>
    <row r="12" spans="2:36" s="12" customFormat="1" ht="12.75" customHeight="1" thickBot="1" x14ac:dyDescent="0.3">
      <c r="B12" s="339"/>
      <c r="C12" s="115" t="s">
        <v>72</v>
      </c>
      <c r="D12" s="22"/>
      <c r="E12" s="23">
        <v>9572</v>
      </c>
      <c r="F12" s="23">
        <v>9639</v>
      </c>
      <c r="G12" s="23">
        <v>9729</v>
      </c>
      <c r="H12" s="23">
        <v>9993</v>
      </c>
      <c r="I12" s="23">
        <v>10231</v>
      </c>
      <c r="J12" s="23">
        <v>10364</v>
      </c>
      <c r="K12" s="23">
        <v>10558</v>
      </c>
      <c r="L12" s="23">
        <v>10665</v>
      </c>
      <c r="M12" s="23">
        <v>10529</v>
      </c>
      <c r="N12" s="23">
        <v>10162</v>
      </c>
      <c r="O12" s="23">
        <v>10054</v>
      </c>
      <c r="P12" s="23">
        <v>9829</v>
      </c>
      <c r="Q12" s="23">
        <f>[16]Hommes!$R$15</f>
        <v>9481</v>
      </c>
      <c r="R12" s="23">
        <f>[17]Hommes!$R$15</f>
        <v>9166</v>
      </c>
      <c r="S12" s="23">
        <v>8911</v>
      </c>
      <c r="T12" s="23">
        <v>8792</v>
      </c>
      <c r="U12" s="23">
        <v>8784</v>
      </c>
      <c r="W12" s="21">
        <v>9891</v>
      </c>
      <c r="X12" s="21">
        <v>9557</v>
      </c>
      <c r="Y12" s="21">
        <v>9233</v>
      </c>
      <c r="Z12" s="21">
        <f>[12]recto!$E$54</f>
        <v>8804</v>
      </c>
      <c r="AA12" s="21">
        <v>8740</v>
      </c>
      <c r="AB12" s="21">
        <f>[5]recto!$E$55</f>
        <v>8494</v>
      </c>
      <c r="AC12" s="21">
        <f>[18]recto!$E$55</f>
        <v>8228</v>
      </c>
      <c r="AE12" s="168">
        <f t="shared" si="1"/>
        <v>-3.3768071984632497E-2</v>
      </c>
      <c r="AF12" s="168">
        <f t="shared" si="2"/>
        <v>-3.3901852045621017E-2</v>
      </c>
      <c r="AG12" s="168">
        <f t="shared" si="2"/>
        <v>-4.6463771255280006E-2</v>
      </c>
      <c r="AH12" s="168">
        <f t="shared" si="2"/>
        <v>-7.2694229895502449E-3</v>
      </c>
      <c r="AI12" s="168">
        <f t="shared" si="2"/>
        <v>-2.8146453089244905E-2</v>
      </c>
      <c r="AJ12" s="168">
        <f t="shared" si="2"/>
        <v>-3.1316223216388051E-2</v>
      </c>
    </row>
    <row r="13" spans="2:36" s="131" customFormat="1" ht="12.75" customHeight="1" thickBot="1" x14ac:dyDescent="0.25">
      <c r="B13" s="339"/>
      <c r="C13" s="127" t="s">
        <v>73</v>
      </c>
      <c r="D13" s="128" t="s">
        <v>74</v>
      </c>
      <c r="E13" s="129">
        <v>121642</v>
      </c>
      <c r="F13" s="129">
        <v>126060</v>
      </c>
      <c r="G13" s="129">
        <v>134918</v>
      </c>
      <c r="H13" s="129">
        <v>133166</v>
      </c>
      <c r="I13" s="129">
        <v>127939</v>
      </c>
      <c r="J13" s="129">
        <v>122506</v>
      </c>
      <c r="K13" s="129">
        <v>118280</v>
      </c>
      <c r="L13" s="129">
        <v>113855</v>
      </c>
      <c r="M13" s="129">
        <v>107842</v>
      </c>
      <c r="N13" s="129">
        <v>102976</v>
      </c>
      <c r="O13" s="129">
        <v>97790</v>
      </c>
      <c r="P13" s="129">
        <v>91070</v>
      </c>
      <c r="Q13" s="129">
        <v>85760</v>
      </c>
      <c r="R13" s="129">
        <v>80329</v>
      </c>
      <c r="S13" s="129">
        <v>69974</v>
      </c>
      <c r="T13" s="129">
        <v>69375</v>
      </c>
      <c r="U13" s="129">
        <v>65909</v>
      </c>
      <c r="W13" s="132">
        <v>66489</v>
      </c>
      <c r="X13" s="132">
        <v>57127</v>
      </c>
      <c r="Y13" s="132">
        <v>50548</v>
      </c>
      <c r="Z13" s="132">
        <f>[12]recto!$E$55</f>
        <v>44940</v>
      </c>
      <c r="AA13" s="132">
        <v>40246</v>
      </c>
      <c r="AB13" s="132">
        <f>[5]recto!$E$57</f>
        <v>35823</v>
      </c>
      <c r="AC13" s="132">
        <f>[18]recto!$E$57</f>
        <v>31434</v>
      </c>
      <c r="AE13" s="207">
        <f t="shared" si="1"/>
        <v>-0.14080524598053812</v>
      </c>
      <c r="AF13" s="207">
        <f t="shared" si="2"/>
        <v>-0.11516445813713305</v>
      </c>
      <c r="AG13" s="207">
        <f t="shared" si="2"/>
        <v>-0.11094405317717815</v>
      </c>
      <c r="AH13" s="207">
        <f t="shared" si="2"/>
        <v>-0.10445037828215398</v>
      </c>
      <c r="AI13" s="207">
        <f t="shared" si="2"/>
        <v>-0.10989912040948169</v>
      </c>
      <c r="AJ13" s="207">
        <f t="shared" si="2"/>
        <v>-0.12251905200569468</v>
      </c>
    </row>
    <row r="14" spans="2:36" s="12" customFormat="1" ht="12.75" customHeight="1" thickBot="1" x14ac:dyDescent="0.3">
      <c r="B14" s="339"/>
      <c r="C14" s="117"/>
      <c r="D14" s="32" t="s">
        <v>75</v>
      </c>
      <c r="E14" s="23">
        <v>25439</v>
      </c>
      <c r="F14" s="23">
        <v>26612</v>
      </c>
      <c r="G14" s="23">
        <v>27226</v>
      </c>
      <c r="H14" s="23">
        <v>27936</v>
      </c>
      <c r="I14" s="23">
        <v>26143</v>
      </c>
      <c r="J14" s="23">
        <v>23887</v>
      </c>
      <c r="K14" s="23">
        <v>22594</v>
      </c>
      <c r="L14" s="23">
        <v>20746</v>
      </c>
      <c r="M14" s="23">
        <v>18833</v>
      </c>
      <c r="N14" s="23">
        <v>17013</v>
      </c>
      <c r="O14" s="23">
        <v>15291</v>
      </c>
      <c r="P14" s="23">
        <v>13527</v>
      </c>
      <c r="Q14" s="23">
        <v>12417</v>
      </c>
      <c r="R14" s="23">
        <v>11140</v>
      </c>
      <c r="S14" s="23">
        <v>9153</v>
      </c>
      <c r="T14" s="23">
        <v>8586</v>
      </c>
      <c r="U14" s="23">
        <v>7710</v>
      </c>
      <c r="W14" s="21">
        <v>7745</v>
      </c>
      <c r="X14" s="21">
        <v>6309</v>
      </c>
      <c r="Y14" s="21">
        <v>5067</v>
      </c>
      <c r="Z14" s="21">
        <f>[12]recto!$E$56</f>
        <v>4188</v>
      </c>
      <c r="AA14" s="21">
        <v>3579</v>
      </c>
      <c r="AB14" s="21">
        <f>[5]recto!$E$58</f>
        <v>3050</v>
      </c>
      <c r="AC14" s="21">
        <f>[18]recto!$E$58</f>
        <v>2393</v>
      </c>
      <c r="AE14" s="168">
        <f t="shared" si="1"/>
        <v>-0.18540994189799875</v>
      </c>
      <c r="AF14" s="168">
        <f t="shared" si="2"/>
        <v>-0.19686162624821679</v>
      </c>
      <c r="AG14" s="168">
        <f t="shared" si="2"/>
        <v>-0.1734754292480758</v>
      </c>
      <c r="AH14" s="168">
        <f t="shared" si="2"/>
        <v>-0.14541547277936961</v>
      </c>
      <c r="AI14" s="168">
        <f t="shared" si="2"/>
        <v>-0.14780664990220727</v>
      </c>
      <c r="AJ14" s="168">
        <f t="shared" si="2"/>
        <v>-0.21540983606557373</v>
      </c>
    </row>
    <row r="15" spans="2:36" s="12" customFormat="1" ht="12.75" customHeight="1" thickBot="1" x14ac:dyDescent="0.3">
      <c r="B15" s="278"/>
      <c r="C15" s="6"/>
      <c r="D15" s="32" t="s">
        <v>76</v>
      </c>
      <c r="E15" s="23">
        <v>44742</v>
      </c>
      <c r="F15" s="23">
        <v>48260</v>
      </c>
      <c r="G15" s="23">
        <v>50138</v>
      </c>
      <c r="H15" s="23">
        <v>51450</v>
      </c>
      <c r="I15" s="23">
        <v>49232</v>
      </c>
      <c r="J15" s="23">
        <v>45992</v>
      </c>
      <c r="K15" s="23">
        <v>43095</v>
      </c>
      <c r="L15" s="23">
        <v>39815</v>
      </c>
      <c r="M15" s="23">
        <v>36064</v>
      </c>
      <c r="N15" s="23">
        <v>32902</v>
      </c>
      <c r="O15" s="23">
        <v>29689</v>
      </c>
      <c r="P15" s="23">
        <v>26017</v>
      </c>
      <c r="Q15" s="23">
        <v>24036</v>
      </c>
      <c r="R15" s="23">
        <v>21718</v>
      </c>
      <c r="S15" s="23">
        <v>17671</v>
      </c>
      <c r="T15" s="23">
        <v>16672</v>
      </c>
      <c r="U15" s="23">
        <v>15007</v>
      </c>
      <c r="W15" s="21">
        <v>15118</v>
      </c>
      <c r="X15" s="21">
        <v>11984</v>
      </c>
      <c r="Y15" s="21">
        <v>9629</v>
      </c>
      <c r="Z15" s="21">
        <f>[12]recto!$E$57</f>
        <v>7962</v>
      </c>
      <c r="AA15" s="21">
        <v>6734</v>
      </c>
      <c r="AB15" s="21">
        <f>[5]recto!$E$59</f>
        <v>5595</v>
      </c>
      <c r="AC15" s="21">
        <f>[18]recto!$E$59</f>
        <v>4234</v>
      </c>
      <c r="AE15" s="168">
        <f t="shared" si="1"/>
        <v>-0.20730255324778413</v>
      </c>
      <c r="AF15" s="168">
        <f t="shared" si="2"/>
        <v>-0.19651201602136181</v>
      </c>
      <c r="AG15" s="168">
        <f t="shared" si="2"/>
        <v>-0.17312285803302518</v>
      </c>
      <c r="AH15" s="168">
        <f t="shared" si="2"/>
        <v>-0.15423260487314749</v>
      </c>
      <c r="AI15" s="168">
        <f t="shared" si="2"/>
        <v>-0.16914166914166917</v>
      </c>
      <c r="AJ15" s="168">
        <f t="shared" si="2"/>
        <v>-0.24325290437890978</v>
      </c>
    </row>
    <row r="16" spans="2:36" s="12" customFormat="1" ht="20.25" customHeight="1" thickBot="1" x14ac:dyDescent="0.3">
      <c r="B16" s="279"/>
      <c r="C16" s="28" t="s">
        <v>77</v>
      </c>
      <c r="D16" s="44"/>
      <c r="E16" s="30">
        <f t="shared" ref="E16:R16" si="3">E13+E14+2*E15</f>
        <v>236565</v>
      </c>
      <c r="F16" s="30">
        <f t="shared" si="3"/>
        <v>249192</v>
      </c>
      <c r="G16" s="30">
        <f t="shared" si="3"/>
        <v>262420</v>
      </c>
      <c r="H16" s="30">
        <f t="shared" si="3"/>
        <v>264002</v>
      </c>
      <c r="I16" s="30">
        <f t="shared" si="3"/>
        <v>252546</v>
      </c>
      <c r="J16" s="30">
        <f t="shared" si="3"/>
        <v>238377</v>
      </c>
      <c r="K16" s="30">
        <f t="shared" si="3"/>
        <v>227064</v>
      </c>
      <c r="L16" s="30">
        <f t="shared" si="3"/>
        <v>214231</v>
      </c>
      <c r="M16" s="30">
        <f t="shared" si="3"/>
        <v>198803</v>
      </c>
      <c r="N16" s="30">
        <f t="shared" si="3"/>
        <v>185793</v>
      </c>
      <c r="O16" s="30">
        <f t="shared" si="3"/>
        <v>172459</v>
      </c>
      <c r="P16" s="30">
        <f t="shared" si="3"/>
        <v>156631</v>
      </c>
      <c r="Q16" s="30">
        <f t="shared" si="3"/>
        <v>146249</v>
      </c>
      <c r="R16" s="30">
        <f t="shared" si="3"/>
        <v>134905</v>
      </c>
      <c r="S16" s="30">
        <v>114469</v>
      </c>
      <c r="T16" s="30">
        <v>111305</v>
      </c>
      <c r="U16" s="30">
        <f>U13+U14+2*U15</f>
        <v>103633</v>
      </c>
      <c r="W16" s="30">
        <v>104470</v>
      </c>
      <c r="X16" s="30">
        <v>87404</v>
      </c>
      <c r="Y16" s="30">
        <v>74873</v>
      </c>
      <c r="Z16" s="30">
        <f>[12]recto!$E$58</f>
        <v>65052</v>
      </c>
      <c r="AA16" s="30">
        <v>57293</v>
      </c>
      <c r="AB16" s="30">
        <f>[5]recto!$E$60</f>
        <v>50063</v>
      </c>
      <c r="AC16" s="30">
        <f>[18]recto!$E$60</f>
        <v>42295</v>
      </c>
      <c r="AE16" s="150">
        <f t="shared" si="1"/>
        <v>-0.16335790178998755</v>
      </c>
      <c r="AF16" s="150">
        <f t="shared" si="2"/>
        <v>-0.14336872454349914</v>
      </c>
      <c r="AG16" s="150">
        <f t="shared" si="2"/>
        <v>-0.13116877913266467</v>
      </c>
      <c r="AH16" s="150">
        <f t="shared" si="2"/>
        <v>-0.11927381171985485</v>
      </c>
      <c r="AI16" s="150">
        <f t="shared" si="2"/>
        <v>-0.12619342677115875</v>
      </c>
      <c r="AJ16" s="150">
        <f t="shared" si="2"/>
        <v>-0.15516449273914867</v>
      </c>
    </row>
    <row r="17" spans="2:36" s="43" customFormat="1" ht="12.75" customHeight="1" thickTop="1" thickBot="1" x14ac:dyDescent="0.3">
      <c r="B17" s="281" t="s">
        <v>11</v>
      </c>
      <c r="C17" s="125" t="s">
        <v>69</v>
      </c>
      <c r="D17" s="121"/>
      <c r="E17" s="197">
        <v>3328</v>
      </c>
      <c r="F17" s="197">
        <v>3106</v>
      </c>
      <c r="G17" s="197">
        <v>2880</v>
      </c>
      <c r="H17" s="197">
        <v>2633</v>
      </c>
      <c r="I17" s="197">
        <v>2444</v>
      </c>
      <c r="J17" s="197">
        <v>2093</v>
      </c>
      <c r="K17" s="197">
        <v>1973</v>
      </c>
      <c r="L17" s="197">
        <v>1897</v>
      </c>
      <c r="M17" s="197">
        <v>1716</v>
      </c>
      <c r="N17" s="197">
        <v>1552</v>
      </c>
      <c r="O17" s="197">
        <v>1394</v>
      </c>
      <c r="P17" s="197">
        <f>SUM([15]Femmes!$R$12)</f>
        <v>1234</v>
      </c>
      <c r="Q17" s="197">
        <f>SUM([16]Femmes!$R$12)</f>
        <v>1121</v>
      </c>
      <c r="R17" s="197">
        <v>991</v>
      </c>
      <c r="S17" s="197">
        <v>843</v>
      </c>
      <c r="T17" s="197">
        <v>740</v>
      </c>
      <c r="U17" s="197">
        <v>645</v>
      </c>
      <c r="V17" s="124"/>
      <c r="W17" s="353" t="s">
        <v>89</v>
      </c>
      <c r="X17" s="353"/>
      <c r="Y17" s="197">
        <v>1074</v>
      </c>
      <c r="Z17" s="122">
        <f>'[14]Compléments de pension'!$D$10</f>
        <v>926</v>
      </c>
      <c r="AA17" s="122">
        <v>818</v>
      </c>
      <c r="AB17" s="122">
        <f>[5]recto!$F$54</f>
        <v>713</v>
      </c>
      <c r="AC17" s="122">
        <f>[18]recto!$F$54</f>
        <v>639</v>
      </c>
      <c r="AE17" s="206"/>
      <c r="AF17" s="206"/>
      <c r="AG17" s="206"/>
      <c r="AH17" s="206"/>
      <c r="AI17" s="206"/>
      <c r="AJ17" s="206"/>
    </row>
    <row r="18" spans="2:36" s="12" customFormat="1" ht="12.75" customHeight="1" thickBot="1" x14ac:dyDescent="0.3">
      <c r="B18" s="282"/>
      <c r="C18" s="115" t="s">
        <v>70</v>
      </c>
      <c r="D18" s="20"/>
      <c r="E18" s="23">
        <v>2535988</v>
      </c>
      <c r="F18" s="23">
        <v>2598086</v>
      </c>
      <c r="G18" s="23">
        <v>2661938</v>
      </c>
      <c r="H18" s="23">
        <v>2733016</v>
      </c>
      <c r="I18" s="23">
        <v>2804391</v>
      </c>
      <c r="J18" s="23">
        <v>2867252</v>
      </c>
      <c r="K18" s="23">
        <v>2931456</v>
      </c>
      <c r="L18" s="23">
        <v>2989033</v>
      </c>
      <c r="M18" s="23">
        <v>3027427</v>
      </c>
      <c r="N18" s="23">
        <v>3044318</v>
      </c>
      <c r="O18" s="23">
        <v>3077162</v>
      </c>
      <c r="P18" s="23">
        <v>3090122</v>
      </c>
      <c r="Q18" s="23">
        <f>[16]Femmes!$R$13</f>
        <v>3100424</v>
      </c>
      <c r="R18" s="23">
        <v>3110768</v>
      </c>
      <c r="S18" s="23">
        <v>3100985</v>
      </c>
      <c r="T18" s="23">
        <v>3138406</v>
      </c>
      <c r="U18" s="23">
        <v>3169431</v>
      </c>
      <c r="W18" s="21">
        <v>3190847</v>
      </c>
      <c r="X18" s="21">
        <v>3167195</v>
      </c>
      <c r="Y18" s="21">
        <v>3173918</v>
      </c>
      <c r="Z18" s="21">
        <f>[12]recto!$F$52</f>
        <v>3183698</v>
      </c>
      <c r="AA18" s="21">
        <v>3200312</v>
      </c>
      <c r="AB18" s="21">
        <f>[5]recto!$F$52</f>
        <v>3204601</v>
      </c>
      <c r="AC18" s="21">
        <f>[18]recto!$F$52</f>
        <v>3213596</v>
      </c>
      <c r="AE18" s="168">
        <f t="shared" si="1"/>
        <v>-7.4124519289079371E-3</v>
      </c>
      <c r="AF18" s="168">
        <f t="shared" si="2"/>
        <v>2.122698476096252E-3</v>
      </c>
      <c r="AG18" s="168">
        <f t="shared" si="2"/>
        <v>3.0813650510188584E-3</v>
      </c>
      <c r="AH18" s="168">
        <f t="shared" si="2"/>
        <v>5.2184597910982511E-3</v>
      </c>
      <c r="AI18" s="168">
        <f t="shared" si="2"/>
        <v>1.3401818322713588E-3</v>
      </c>
      <c r="AJ18" s="168">
        <f t="shared" si="2"/>
        <v>2.806901701646991E-3</v>
      </c>
    </row>
    <row r="19" spans="2:36" s="12" customFormat="1" ht="12.75" customHeight="1" thickBot="1" x14ac:dyDescent="0.3">
      <c r="B19" s="282"/>
      <c r="C19" s="115" t="s">
        <v>71</v>
      </c>
      <c r="D19" s="22"/>
      <c r="E19" s="23">
        <v>4254</v>
      </c>
      <c r="F19" s="23">
        <v>4612</v>
      </c>
      <c r="G19" s="23">
        <v>6786</v>
      </c>
      <c r="H19" s="23">
        <v>7122</v>
      </c>
      <c r="I19" s="23">
        <v>9288</v>
      </c>
      <c r="J19" s="23">
        <v>8825</v>
      </c>
      <c r="K19" s="23">
        <v>9012</v>
      </c>
      <c r="L19" s="23">
        <v>8197</v>
      </c>
      <c r="M19" s="23">
        <v>7465</v>
      </c>
      <c r="N19" s="23">
        <v>6768</v>
      </c>
      <c r="O19" s="23">
        <v>6327</v>
      </c>
      <c r="P19" s="23">
        <v>5582</v>
      </c>
      <c r="Q19" s="23">
        <f>[16]Femmes!$R$14</f>
        <v>5251</v>
      </c>
      <c r="R19" s="23">
        <v>4825</v>
      </c>
      <c r="S19" s="23">
        <v>4139</v>
      </c>
      <c r="T19" s="23">
        <v>3917</v>
      </c>
      <c r="U19" s="23">
        <v>3602</v>
      </c>
      <c r="W19" s="21">
        <v>3842</v>
      </c>
      <c r="X19" s="21">
        <v>3576</v>
      </c>
      <c r="Y19" s="21">
        <v>3105</v>
      </c>
      <c r="Z19" s="21">
        <f>[12]recto!$F$53</f>
        <v>2688</v>
      </c>
      <c r="AA19" s="21">
        <v>2589</v>
      </c>
      <c r="AB19" s="21">
        <f>[5]recto!$F$53</f>
        <v>2390</v>
      </c>
      <c r="AC19" s="21">
        <f>[18]recto!$F$53</f>
        <v>2235</v>
      </c>
      <c r="AE19" s="168">
        <f t="shared" si="1"/>
        <v>-6.9234773555439832E-2</v>
      </c>
      <c r="AF19" s="168">
        <f t="shared" si="2"/>
        <v>-0.13171140939597314</v>
      </c>
      <c r="AG19" s="168">
        <f t="shared" si="2"/>
        <v>-0.13429951690821251</v>
      </c>
      <c r="AH19" s="168">
        <f t="shared" si="2"/>
        <v>-3.6830357142857095E-2</v>
      </c>
      <c r="AI19" s="168">
        <f t="shared" si="2"/>
        <v>-7.6863653920432595E-2</v>
      </c>
      <c r="AJ19" s="168">
        <f t="shared" si="2"/>
        <v>-6.4853556485355623E-2</v>
      </c>
    </row>
    <row r="20" spans="2:36" s="12" customFormat="1" ht="12.75" customHeight="1" thickBot="1" x14ac:dyDescent="0.3">
      <c r="B20" s="282"/>
      <c r="C20" s="115" t="s">
        <v>72</v>
      </c>
      <c r="D20" s="22"/>
      <c r="E20" s="23">
        <v>8926</v>
      </c>
      <c r="F20" s="23">
        <v>8812</v>
      </c>
      <c r="G20" s="23">
        <v>8769</v>
      </c>
      <c r="H20" s="23">
        <v>8851</v>
      </c>
      <c r="I20" s="23">
        <v>9017</v>
      </c>
      <c r="J20" s="23">
        <v>9115</v>
      </c>
      <c r="K20" s="23">
        <v>9156</v>
      </c>
      <c r="L20" s="23">
        <v>9318</v>
      </c>
      <c r="M20" s="23">
        <v>9179</v>
      </c>
      <c r="N20" s="23">
        <v>8892</v>
      </c>
      <c r="O20" s="23">
        <v>8781</v>
      </c>
      <c r="P20" s="23">
        <v>8532</v>
      </c>
      <c r="Q20" s="23">
        <f>[16]Femmes!$R$15</f>
        <v>8312</v>
      </c>
      <c r="R20" s="23">
        <f>[17]Femmes!$R$15</f>
        <v>8052</v>
      </c>
      <c r="S20" s="23">
        <v>7887</v>
      </c>
      <c r="T20" s="23">
        <v>7766</v>
      </c>
      <c r="U20" s="23">
        <v>7670</v>
      </c>
      <c r="W20" s="21">
        <v>8096</v>
      </c>
      <c r="X20" s="21">
        <v>7949</v>
      </c>
      <c r="Y20" s="21">
        <v>7766</v>
      </c>
      <c r="Z20" s="21">
        <f>[12]recto!$F$54</f>
        <v>7445</v>
      </c>
      <c r="AA20" s="21">
        <v>7322</v>
      </c>
      <c r="AB20" s="21">
        <f>[5]recto!$F$55</f>
        <v>7160</v>
      </c>
      <c r="AC20" s="21">
        <f>[18]recto!$F$55</f>
        <v>7027</v>
      </c>
      <c r="AE20" s="168">
        <f t="shared" si="1"/>
        <v>-1.8157114624505977E-2</v>
      </c>
      <c r="AF20" s="168">
        <f t="shared" si="2"/>
        <v>-2.3021763743867107E-2</v>
      </c>
      <c r="AG20" s="168">
        <f t="shared" si="2"/>
        <v>-4.1334020087561152E-2</v>
      </c>
      <c r="AH20" s="168">
        <f t="shared" si="2"/>
        <v>-1.6521155137676269E-2</v>
      </c>
      <c r="AI20" s="168">
        <f t="shared" si="2"/>
        <v>-2.212510243102972E-2</v>
      </c>
      <c r="AJ20" s="168">
        <f t="shared" si="2"/>
        <v>-1.8575418994413395E-2</v>
      </c>
    </row>
    <row r="21" spans="2:36" s="131" customFormat="1" ht="12.75" customHeight="1" thickBot="1" x14ac:dyDescent="0.25">
      <c r="B21" s="282"/>
      <c r="C21" s="127" t="s">
        <v>73</v>
      </c>
      <c r="D21" s="128" t="s">
        <v>74</v>
      </c>
      <c r="E21" s="130">
        <v>97687</v>
      </c>
      <c r="F21" s="130">
        <v>101529</v>
      </c>
      <c r="G21" s="130">
        <v>106845</v>
      </c>
      <c r="H21" s="130">
        <v>108110</v>
      </c>
      <c r="I21" s="130">
        <v>102919</v>
      </c>
      <c r="J21" s="130">
        <v>97366</v>
      </c>
      <c r="K21" s="130">
        <v>93134</v>
      </c>
      <c r="L21" s="130">
        <v>88633</v>
      </c>
      <c r="M21" s="130">
        <v>83129</v>
      </c>
      <c r="N21" s="130">
        <v>77975</v>
      </c>
      <c r="O21" s="130">
        <v>73243</v>
      </c>
      <c r="P21" s="130">
        <v>67106</v>
      </c>
      <c r="Q21" s="130">
        <v>62204</v>
      </c>
      <c r="R21" s="130">
        <v>57572</v>
      </c>
      <c r="S21" s="130">
        <v>50169</v>
      </c>
      <c r="T21" s="130">
        <v>48782</v>
      </c>
      <c r="U21" s="130">
        <v>46077</v>
      </c>
      <c r="W21" s="132">
        <v>46683</v>
      </c>
      <c r="X21" s="132">
        <v>40081</v>
      </c>
      <c r="Y21" s="21">
        <v>35825</v>
      </c>
      <c r="Z21" s="132">
        <f>[12]recto!F55</f>
        <v>31810</v>
      </c>
      <c r="AA21" s="132">
        <v>28328</v>
      </c>
      <c r="AB21" s="132">
        <f>[5]recto!$F$57</f>
        <v>25059</v>
      </c>
      <c r="AC21" s="132">
        <f>[18]recto!$F$57</f>
        <v>22089</v>
      </c>
      <c r="AE21" s="168">
        <f t="shared" si="1"/>
        <v>-0.14142193089561506</v>
      </c>
      <c r="AF21" s="168">
        <f t="shared" si="2"/>
        <v>-0.1061849754247649</v>
      </c>
      <c r="AG21" s="168">
        <f t="shared" si="2"/>
        <v>-0.11207257501744594</v>
      </c>
      <c r="AH21" s="168">
        <f t="shared" si="2"/>
        <v>-0.1094624331971078</v>
      </c>
      <c r="AI21" s="168">
        <f t="shared" si="2"/>
        <v>-0.11539819260096018</v>
      </c>
      <c r="AJ21" s="168">
        <f t="shared" si="2"/>
        <v>-0.11852029211061899</v>
      </c>
    </row>
    <row r="22" spans="2:36" s="12" customFormat="1" ht="12.75" customHeight="1" thickBot="1" x14ac:dyDescent="0.25">
      <c r="B22" s="282"/>
      <c r="C22" s="117"/>
      <c r="D22" s="32" t="s">
        <v>75</v>
      </c>
      <c r="E22" s="116">
        <v>508</v>
      </c>
      <c r="F22" s="116">
        <v>503</v>
      </c>
      <c r="G22" s="116">
        <v>502</v>
      </c>
      <c r="H22" s="116">
        <v>479</v>
      </c>
      <c r="I22" s="116">
        <v>430</v>
      </c>
      <c r="J22" s="116">
        <v>373</v>
      </c>
      <c r="K22" s="116">
        <v>339</v>
      </c>
      <c r="L22" s="116">
        <v>309</v>
      </c>
      <c r="M22" s="116">
        <v>277</v>
      </c>
      <c r="N22" s="116">
        <v>257</v>
      </c>
      <c r="O22" s="116">
        <v>224</v>
      </c>
      <c r="P22" s="116">
        <v>206</v>
      </c>
      <c r="Q22" s="116">
        <v>189</v>
      </c>
      <c r="R22" s="116">
        <v>171</v>
      </c>
      <c r="S22" s="116">
        <v>140</v>
      </c>
      <c r="T22" s="116">
        <v>120</v>
      </c>
      <c r="U22" s="116">
        <v>105</v>
      </c>
      <c r="W22" s="21">
        <v>107</v>
      </c>
      <c r="X22" s="21">
        <v>84</v>
      </c>
      <c r="Y22" s="21">
        <v>66</v>
      </c>
      <c r="Z22" s="132">
        <f>[12]recto!F56</f>
        <v>49</v>
      </c>
      <c r="AA22" s="132">
        <v>38</v>
      </c>
      <c r="AB22" s="132">
        <f>[5]recto!$F$58</f>
        <v>32</v>
      </c>
      <c r="AC22" s="132">
        <f>[18]recto!$F$58</f>
        <v>26</v>
      </c>
      <c r="AE22" s="168">
        <f t="shared" si="1"/>
        <v>-0.21495327102803741</v>
      </c>
      <c r="AF22" s="168">
        <f t="shared" si="2"/>
        <v>-0.2142857142857143</v>
      </c>
      <c r="AG22" s="168">
        <f t="shared" si="2"/>
        <v>-0.25757575757575757</v>
      </c>
      <c r="AH22" s="168">
        <f t="shared" si="2"/>
        <v>-0.22448979591836737</v>
      </c>
      <c r="AI22" s="168">
        <f t="shared" si="2"/>
        <v>-0.15789473684210531</v>
      </c>
      <c r="AJ22" s="168">
        <f t="shared" si="2"/>
        <v>-0.1875</v>
      </c>
    </row>
    <row r="23" spans="2:36" s="12" customFormat="1" ht="12.75" customHeight="1" thickBot="1" x14ac:dyDescent="0.3">
      <c r="B23" s="282"/>
      <c r="C23" s="6"/>
      <c r="D23" s="32" t="s">
        <v>76</v>
      </c>
      <c r="E23" s="23">
        <v>303</v>
      </c>
      <c r="F23" s="23">
        <v>294</v>
      </c>
      <c r="G23" s="23">
        <v>299</v>
      </c>
      <c r="H23" s="23">
        <v>288</v>
      </c>
      <c r="I23" s="23">
        <v>268</v>
      </c>
      <c r="J23" s="23">
        <v>250</v>
      </c>
      <c r="K23" s="23">
        <v>231</v>
      </c>
      <c r="L23" s="23">
        <v>214</v>
      </c>
      <c r="M23" s="23">
        <v>196</v>
      </c>
      <c r="N23" s="23">
        <v>178</v>
      </c>
      <c r="O23" s="23">
        <v>158</v>
      </c>
      <c r="P23" s="23">
        <v>137</v>
      </c>
      <c r="Q23" s="23">
        <v>129</v>
      </c>
      <c r="R23" s="23">
        <v>108</v>
      </c>
      <c r="S23" s="23">
        <v>99</v>
      </c>
      <c r="T23" s="23">
        <v>87</v>
      </c>
      <c r="U23" s="23">
        <v>75</v>
      </c>
      <c r="W23" s="21">
        <v>84</v>
      </c>
      <c r="X23" s="21">
        <v>70</v>
      </c>
      <c r="Y23" s="21">
        <v>59</v>
      </c>
      <c r="Z23" s="21">
        <f>[12]recto!$F$57</f>
        <v>48</v>
      </c>
      <c r="AA23" s="21">
        <v>42</v>
      </c>
      <c r="AB23" s="21">
        <f>[5]recto!$F$59</f>
        <v>36</v>
      </c>
      <c r="AC23" s="21">
        <f>[18]recto!$F$59</f>
        <v>33</v>
      </c>
      <c r="AE23" s="168">
        <f t="shared" si="1"/>
        <v>-0.16666666666666663</v>
      </c>
      <c r="AF23" s="168">
        <f t="shared" si="2"/>
        <v>-0.15714285714285714</v>
      </c>
      <c r="AG23" s="168">
        <f t="shared" si="2"/>
        <v>-0.18644067796610164</v>
      </c>
      <c r="AH23" s="168">
        <f t="shared" si="2"/>
        <v>-0.125</v>
      </c>
      <c r="AI23" s="168">
        <f t="shared" si="2"/>
        <v>-0.1428571428571429</v>
      </c>
      <c r="AJ23" s="168">
        <f t="shared" si="2"/>
        <v>-8.333333333333337E-2</v>
      </c>
    </row>
    <row r="24" spans="2:36" s="12" customFormat="1" ht="20.25" customHeight="1" thickBot="1" x14ac:dyDescent="0.3">
      <c r="B24" s="283"/>
      <c r="C24" s="28" t="s">
        <v>77</v>
      </c>
      <c r="D24" s="44"/>
      <c r="E24" s="30">
        <f t="shared" ref="E24:R24" si="4">E21+E22+2*E23</f>
        <v>98801</v>
      </c>
      <c r="F24" s="30">
        <f t="shared" si="4"/>
        <v>102620</v>
      </c>
      <c r="G24" s="30">
        <f t="shared" si="4"/>
        <v>107945</v>
      </c>
      <c r="H24" s="30">
        <f t="shared" si="4"/>
        <v>109165</v>
      </c>
      <c r="I24" s="30">
        <f t="shared" si="4"/>
        <v>103885</v>
      </c>
      <c r="J24" s="30">
        <f t="shared" si="4"/>
        <v>98239</v>
      </c>
      <c r="K24" s="30">
        <f t="shared" si="4"/>
        <v>93935</v>
      </c>
      <c r="L24" s="30">
        <f t="shared" si="4"/>
        <v>89370</v>
      </c>
      <c r="M24" s="30">
        <f t="shared" si="4"/>
        <v>83798</v>
      </c>
      <c r="N24" s="30">
        <f t="shared" si="4"/>
        <v>78588</v>
      </c>
      <c r="O24" s="30">
        <f t="shared" si="4"/>
        <v>73783</v>
      </c>
      <c r="P24" s="30">
        <f t="shared" si="4"/>
        <v>67586</v>
      </c>
      <c r="Q24" s="30">
        <f t="shared" si="4"/>
        <v>62651</v>
      </c>
      <c r="R24" s="30">
        <f t="shared" si="4"/>
        <v>57959</v>
      </c>
      <c r="S24" s="30">
        <v>50507</v>
      </c>
      <c r="T24" s="30">
        <v>49076</v>
      </c>
      <c r="U24" s="30">
        <v>50507</v>
      </c>
      <c r="W24" s="30">
        <v>46958</v>
      </c>
      <c r="X24" s="30">
        <v>40305</v>
      </c>
      <c r="Y24" s="30">
        <v>36009</v>
      </c>
      <c r="Z24" s="30">
        <f>[12]recto!$F$58</f>
        <v>31955</v>
      </c>
      <c r="AA24" s="30">
        <v>28450</v>
      </c>
      <c r="AB24" s="30">
        <f>[5]recto!$F$60</f>
        <v>25163</v>
      </c>
      <c r="AC24" s="30">
        <f>[18]recto!$F$60</f>
        <v>22181</v>
      </c>
      <c r="AE24" s="150">
        <f t="shared" si="1"/>
        <v>-0.14167979896929173</v>
      </c>
      <c r="AF24" s="150">
        <f t="shared" si="2"/>
        <v>-0.10658727205061402</v>
      </c>
      <c r="AG24" s="150">
        <f t="shared" si="2"/>
        <v>-0.11258296536976864</v>
      </c>
      <c r="AH24" s="150">
        <f t="shared" si="2"/>
        <v>-0.10968549522766391</v>
      </c>
      <c r="AI24" s="150">
        <f t="shared" si="2"/>
        <v>-0.11553602811950792</v>
      </c>
      <c r="AJ24" s="150">
        <f t="shared" si="2"/>
        <v>-0.11850733219409448</v>
      </c>
    </row>
    <row r="25" spans="2:36" s="12" customFormat="1" ht="12.75" customHeight="1" thickTop="1" thickBot="1" x14ac:dyDescent="0.3">
      <c r="B25" s="273" t="s">
        <v>14</v>
      </c>
      <c r="C25" s="125" t="s">
        <v>69</v>
      </c>
      <c r="D25" s="196"/>
      <c r="E25" s="197">
        <v>182385</v>
      </c>
      <c r="F25" s="197">
        <v>183049</v>
      </c>
      <c r="G25" s="197">
        <v>183783</v>
      </c>
      <c r="H25" s="197">
        <v>181896</v>
      </c>
      <c r="I25" s="197">
        <v>178809</v>
      </c>
      <c r="J25" s="197">
        <v>173996</v>
      </c>
      <c r="K25" s="197">
        <v>172311</v>
      </c>
      <c r="L25" s="197">
        <v>167234</v>
      </c>
      <c r="M25" s="197">
        <v>155016</v>
      </c>
      <c r="N25" s="197">
        <v>141359</v>
      </c>
      <c r="O25" s="197">
        <f t="shared" ref="O25:R31" si="5">O9+O17</f>
        <v>127496</v>
      </c>
      <c r="P25" s="197">
        <f t="shared" si="5"/>
        <v>113543</v>
      </c>
      <c r="Q25" s="197">
        <f t="shared" si="5"/>
        <v>105540</v>
      </c>
      <c r="R25" s="197">
        <f t="shared" si="5"/>
        <v>96604</v>
      </c>
      <c r="S25" s="197">
        <v>81775</v>
      </c>
      <c r="T25" s="197">
        <v>77647</v>
      </c>
      <c r="U25" s="197">
        <f t="shared" ref="U25:U31" si="6">U9+U17</f>
        <v>70939</v>
      </c>
      <c r="V25" s="123"/>
      <c r="W25" s="353" t="s">
        <v>89</v>
      </c>
      <c r="X25" s="353"/>
      <c r="Y25" s="197">
        <v>62034</v>
      </c>
      <c r="Z25" s="122">
        <f>'[9]Compléments de pension'!$E$10</f>
        <v>46091</v>
      </c>
      <c r="AA25" s="122">
        <v>46091</v>
      </c>
      <c r="AB25" s="122">
        <f>AB9+AB17</f>
        <v>39700</v>
      </c>
      <c r="AC25" s="122">
        <f>AC9+AC17</f>
        <v>33003</v>
      </c>
      <c r="AD25" s="31"/>
      <c r="AE25" s="206"/>
      <c r="AF25" s="206"/>
      <c r="AG25" s="206"/>
      <c r="AH25" s="206"/>
      <c r="AI25" s="206"/>
      <c r="AJ25" s="206"/>
    </row>
    <row r="26" spans="2:36" s="12" customFormat="1" ht="12.75" customHeight="1" thickBot="1" x14ac:dyDescent="0.3">
      <c r="B26" s="274"/>
      <c r="C26" s="115" t="s">
        <v>70</v>
      </c>
      <c r="D26" s="20"/>
      <c r="E26" s="198">
        <v>4609294</v>
      </c>
      <c r="F26" s="198">
        <v>4738377</v>
      </c>
      <c r="G26" s="198">
        <v>4853652</v>
      </c>
      <c r="H26" s="198">
        <v>4982125</v>
      </c>
      <c r="I26" s="198">
        <v>5106209</v>
      </c>
      <c r="J26" s="198">
        <v>5217272</v>
      </c>
      <c r="K26" s="198">
        <v>5310439</v>
      </c>
      <c r="L26" s="198">
        <v>5400875</v>
      </c>
      <c r="M26" s="198">
        <v>5448825</v>
      </c>
      <c r="N26" s="198">
        <v>5463445</v>
      </c>
      <c r="O26" s="198">
        <f t="shared" si="5"/>
        <v>5515012</v>
      </c>
      <c r="P26" s="198">
        <f t="shared" si="5"/>
        <v>5532071</v>
      </c>
      <c r="Q26" s="198">
        <f t="shared" si="5"/>
        <v>5544000</v>
      </c>
      <c r="R26" s="198">
        <f t="shared" si="5"/>
        <v>5556234</v>
      </c>
      <c r="S26" s="198">
        <v>5525865</v>
      </c>
      <c r="T26" s="198">
        <v>5574046</v>
      </c>
      <c r="U26" s="198">
        <f t="shared" si="6"/>
        <v>5604883</v>
      </c>
      <c r="W26" s="23">
        <v>5664543</v>
      </c>
      <c r="X26" s="23">
        <v>5601456</v>
      </c>
      <c r="Y26" s="23">
        <v>5586342</v>
      </c>
      <c r="Z26" s="21">
        <f>[12]recto!$D$52</f>
        <v>5584128</v>
      </c>
      <c r="AA26" s="21">
        <v>5600803</v>
      </c>
      <c r="AB26" s="21">
        <f t="shared" ref="AB26:AC31" si="7">AB10+AB18</f>
        <v>5595428</v>
      </c>
      <c r="AC26" s="21">
        <f t="shared" si="7"/>
        <v>5599744</v>
      </c>
      <c r="AD26" s="31"/>
      <c r="AE26" s="154">
        <f t="shared" si="1"/>
        <v>-1.1137173819670942E-2</v>
      </c>
      <c r="AF26" s="154">
        <f t="shared" si="2"/>
        <v>-2.6982270324001911E-3</v>
      </c>
      <c r="AG26" s="154">
        <f t="shared" si="2"/>
        <v>-3.9632374817011318E-4</v>
      </c>
      <c r="AH26" s="154">
        <f t="shared" si="2"/>
        <v>2.9861421514694175E-3</v>
      </c>
      <c r="AI26" s="154">
        <f t="shared" si="2"/>
        <v>-9.5968381676703185E-4</v>
      </c>
      <c r="AJ26" s="154">
        <f t="shared" si="2"/>
        <v>7.7134403302125953E-4</v>
      </c>
    </row>
    <row r="27" spans="2:36" s="12" customFormat="1" ht="12.75" customHeight="1" thickBot="1" x14ac:dyDescent="0.3">
      <c r="B27" s="274"/>
      <c r="C27" s="115" t="s">
        <v>71</v>
      </c>
      <c r="D27" s="22"/>
      <c r="E27" s="23">
        <v>4454</v>
      </c>
      <c r="F27" s="23">
        <v>4856</v>
      </c>
      <c r="G27" s="23">
        <v>7135</v>
      </c>
      <c r="H27" s="23">
        <v>7585</v>
      </c>
      <c r="I27" s="23">
        <v>9870</v>
      </c>
      <c r="J27" s="23">
        <v>9418</v>
      </c>
      <c r="K27" s="23">
        <v>9682</v>
      </c>
      <c r="L27" s="23">
        <v>8823</v>
      </c>
      <c r="M27" s="23">
        <v>8039</v>
      </c>
      <c r="N27" s="23">
        <v>7346</v>
      </c>
      <c r="O27" s="23">
        <f t="shared" si="5"/>
        <v>6884</v>
      </c>
      <c r="P27" s="23">
        <f t="shared" si="5"/>
        <v>6115</v>
      </c>
      <c r="Q27" s="23">
        <f t="shared" si="5"/>
        <v>5778</v>
      </c>
      <c r="R27" s="23">
        <f t="shared" si="5"/>
        <v>5328</v>
      </c>
      <c r="S27" s="23">
        <v>4627</v>
      </c>
      <c r="T27" s="23">
        <v>4380</v>
      </c>
      <c r="U27" s="23">
        <f t="shared" si="6"/>
        <v>4056</v>
      </c>
      <c r="W27" s="23">
        <v>4303</v>
      </c>
      <c r="X27" s="23">
        <v>4040</v>
      </c>
      <c r="Y27" s="23">
        <v>3525</v>
      </c>
      <c r="Z27" s="21">
        <f>[12]recto!$D$53</f>
        <v>3057</v>
      </c>
      <c r="AA27" s="21">
        <v>2918</v>
      </c>
      <c r="AB27" s="21">
        <f t="shared" si="7"/>
        <v>2701</v>
      </c>
      <c r="AC27" s="21">
        <f t="shared" si="7"/>
        <v>2538</v>
      </c>
      <c r="AD27" s="31"/>
      <c r="AE27" s="154">
        <f t="shared" si="1"/>
        <v>-6.1120148733441737E-2</v>
      </c>
      <c r="AF27" s="154">
        <f t="shared" si="2"/>
        <v>-0.12747524752475248</v>
      </c>
      <c r="AG27" s="154">
        <f t="shared" si="2"/>
        <v>-0.13276595744680852</v>
      </c>
      <c r="AH27" s="154">
        <f t="shared" si="2"/>
        <v>-4.5469414458619517E-2</v>
      </c>
      <c r="AI27" s="154">
        <f t="shared" si="2"/>
        <v>-7.4366004112405792E-2</v>
      </c>
      <c r="AJ27" s="154">
        <f t="shared" si="2"/>
        <v>-6.0348019252128848E-2</v>
      </c>
    </row>
    <row r="28" spans="2:36" s="12" customFormat="1" ht="12.75" customHeight="1" thickBot="1" x14ac:dyDescent="0.3">
      <c r="B28" s="274"/>
      <c r="C28" s="115" t="s">
        <v>72</v>
      </c>
      <c r="D28" s="22"/>
      <c r="E28" s="23">
        <v>18498</v>
      </c>
      <c r="F28" s="23">
        <v>18451</v>
      </c>
      <c r="G28" s="23">
        <v>18498</v>
      </c>
      <c r="H28" s="23">
        <v>18844</v>
      </c>
      <c r="I28" s="23">
        <v>19248</v>
      </c>
      <c r="J28" s="23">
        <v>19479</v>
      </c>
      <c r="K28" s="23">
        <v>19714</v>
      </c>
      <c r="L28" s="23">
        <v>19983</v>
      </c>
      <c r="M28" s="23">
        <v>19708</v>
      </c>
      <c r="N28" s="23">
        <v>19054</v>
      </c>
      <c r="O28" s="23">
        <f t="shared" si="5"/>
        <v>18835</v>
      </c>
      <c r="P28" s="23">
        <f t="shared" si="5"/>
        <v>18361</v>
      </c>
      <c r="Q28" s="23">
        <f t="shared" si="5"/>
        <v>17793</v>
      </c>
      <c r="R28" s="23">
        <f t="shared" si="5"/>
        <v>17218</v>
      </c>
      <c r="S28" s="23">
        <v>16798</v>
      </c>
      <c r="T28" s="23">
        <v>16558</v>
      </c>
      <c r="U28" s="23">
        <f t="shared" si="6"/>
        <v>16454</v>
      </c>
      <c r="W28" s="23">
        <v>17987</v>
      </c>
      <c r="X28" s="23">
        <v>17506</v>
      </c>
      <c r="Y28" s="23">
        <v>16999</v>
      </c>
      <c r="Z28" s="21">
        <f>[12]recto!$D$54</f>
        <v>16249</v>
      </c>
      <c r="AA28" s="21">
        <v>16062</v>
      </c>
      <c r="AB28" s="21">
        <f t="shared" si="7"/>
        <v>15654</v>
      </c>
      <c r="AC28" s="21">
        <f t="shared" si="7"/>
        <v>15255</v>
      </c>
      <c r="AD28" s="31"/>
      <c r="AE28" s="154">
        <f t="shared" si="1"/>
        <v>-2.6741535553455265E-2</v>
      </c>
      <c r="AF28" s="154">
        <f t="shared" si="2"/>
        <v>-2.8961498914657824E-2</v>
      </c>
      <c r="AG28" s="154">
        <f t="shared" si="2"/>
        <v>-4.4120242367198026E-2</v>
      </c>
      <c r="AH28" s="154">
        <f t="shared" si="2"/>
        <v>-1.1508400516954898E-2</v>
      </c>
      <c r="AI28" s="154">
        <f t="shared" si="2"/>
        <v>-2.5401568920433326E-2</v>
      </c>
      <c r="AJ28" s="154">
        <f t="shared" si="2"/>
        <v>-2.5488692985818351E-2</v>
      </c>
    </row>
    <row r="29" spans="2:36" s="131" customFormat="1" ht="12.75" customHeight="1" thickBot="1" x14ac:dyDescent="0.25">
      <c r="B29" s="274"/>
      <c r="C29" s="127" t="s">
        <v>73</v>
      </c>
      <c r="D29" s="128" t="s">
        <v>74</v>
      </c>
      <c r="E29" s="129">
        <v>219329</v>
      </c>
      <c r="F29" s="129">
        <v>227589</v>
      </c>
      <c r="G29" s="129">
        <v>241763</v>
      </c>
      <c r="H29" s="129">
        <v>241276</v>
      </c>
      <c r="I29" s="129">
        <v>230858</v>
      </c>
      <c r="J29" s="129">
        <v>219872</v>
      </c>
      <c r="K29" s="129">
        <v>211414</v>
      </c>
      <c r="L29" s="129">
        <v>202488</v>
      </c>
      <c r="M29" s="129">
        <v>190971</v>
      </c>
      <c r="N29" s="129">
        <v>180951</v>
      </c>
      <c r="O29" s="129">
        <f t="shared" si="5"/>
        <v>171033</v>
      </c>
      <c r="P29" s="129">
        <f t="shared" si="5"/>
        <v>158176</v>
      </c>
      <c r="Q29" s="129">
        <f t="shared" si="5"/>
        <v>147964</v>
      </c>
      <c r="R29" s="129">
        <f t="shared" si="5"/>
        <v>137901</v>
      </c>
      <c r="S29" s="129">
        <v>120143</v>
      </c>
      <c r="T29" s="129">
        <v>118157</v>
      </c>
      <c r="U29" s="130">
        <f t="shared" si="6"/>
        <v>111986</v>
      </c>
      <c r="W29" s="130">
        <v>113172</v>
      </c>
      <c r="X29" s="130">
        <v>97208</v>
      </c>
      <c r="Y29" s="130">
        <v>86373</v>
      </c>
      <c r="Z29" s="132">
        <f>[12]recto!D55</f>
        <v>76750</v>
      </c>
      <c r="AA29" s="132">
        <v>68574</v>
      </c>
      <c r="AB29" s="132">
        <f t="shared" si="7"/>
        <v>60882</v>
      </c>
      <c r="AC29" s="132">
        <f t="shared" si="7"/>
        <v>53523</v>
      </c>
      <c r="AD29" s="31"/>
      <c r="AE29" s="208">
        <f t="shared" si="1"/>
        <v>-0.14105962605591493</v>
      </c>
      <c r="AF29" s="208">
        <f t="shared" si="2"/>
        <v>-0.1114620195868653</v>
      </c>
      <c r="AG29" s="208">
        <f t="shared" si="2"/>
        <v>-0.11141213110578541</v>
      </c>
      <c r="AH29" s="208">
        <f t="shared" si="2"/>
        <v>-0.10652768729641693</v>
      </c>
      <c r="AI29" s="208">
        <f t="shared" si="2"/>
        <v>-0.11217079359524018</v>
      </c>
      <c r="AJ29" s="208">
        <f t="shared" si="2"/>
        <v>-0.12087316448211294</v>
      </c>
    </row>
    <row r="30" spans="2:36" s="12" customFormat="1" ht="12.75" customHeight="1" thickBot="1" x14ac:dyDescent="0.25">
      <c r="B30" s="274"/>
      <c r="C30" s="117"/>
      <c r="D30" s="32" t="s">
        <v>75</v>
      </c>
      <c r="E30" s="23">
        <v>25947</v>
      </c>
      <c r="F30" s="23">
        <v>27115</v>
      </c>
      <c r="G30" s="23">
        <v>27728</v>
      </c>
      <c r="H30" s="23">
        <v>28415</v>
      </c>
      <c r="I30" s="23">
        <v>26573</v>
      </c>
      <c r="J30" s="23">
        <v>24260</v>
      </c>
      <c r="K30" s="23">
        <v>22933</v>
      </c>
      <c r="L30" s="23">
        <v>21055</v>
      </c>
      <c r="M30" s="23">
        <v>19110</v>
      </c>
      <c r="N30" s="23">
        <v>17270</v>
      </c>
      <c r="O30" s="23">
        <f t="shared" si="5"/>
        <v>15515</v>
      </c>
      <c r="P30" s="23">
        <f t="shared" si="5"/>
        <v>13733</v>
      </c>
      <c r="Q30" s="23">
        <f t="shared" si="5"/>
        <v>12606</v>
      </c>
      <c r="R30" s="23">
        <f t="shared" si="5"/>
        <v>11311</v>
      </c>
      <c r="S30" s="23">
        <v>9293</v>
      </c>
      <c r="T30" s="23">
        <v>8706</v>
      </c>
      <c r="U30" s="116">
        <f t="shared" si="6"/>
        <v>7815</v>
      </c>
      <c r="W30" s="116">
        <v>7852</v>
      </c>
      <c r="X30" s="116">
        <v>6393</v>
      </c>
      <c r="Y30" s="116">
        <v>5133</v>
      </c>
      <c r="Z30" s="132">
        <f>[12]recto!D56</f>
        <v>4237</v>
      </c>
      <c r="AA30" s="132">
        <v>3617</v>
      </c>
      <c r="AB30" s="132">
        <f t="shared" si="7"/>
        <v>3082</v>
      </c>
      <c r="AC30" s="132">
        <f t="shared" si="7"/>
        <v>2419</v>
      </c>
      <c r="AD30" s="31"/>
      <c r="AE30" s="209">
        <f t="shared" si="1"/>
        <v>-0.18581253183902191</v>
      </c>
      <c r="AF30" s="209">
        <f t="shared" si="2"/>
        <v>-0.19709056780854062</v>
      </c>
      <c r="AG30" s="209">
        <f t="shared" si="2"/>
        <v>-0.17455678940190922</v>
      </c>
      <c r="AH30" s="209">
        <f t="shared" si="2"/>
        <v>-0.14632995043662966</v>
      </c>
      <c r="AI30" s="209">
        <f t="shared" si="2"/>
        <v>-0.14791263478020455</v>
      </c>
      <c r="AJ30" s="209">
        <f t="shared" si="2"/>
        <v>-0.21512005191434136</v>
      </c>
    </row>
    <row r="31" spans="2:36" s="12" customFormat="1" ht="12.75" customHeight="1" thickBot="1" x14ac:dyDescent="0.3">
      <c r="B31" s="274"/>
      <c r="C31" s="6"/>
      <c r="D31" s="32" t="s">
        <v>76</v>
      </c>
      <c r="E31" s="23">
        <v>45045</v>
      </c>
      <c r="F31" s="23">
        <v>48554</v>
      </c>
      <c r="G31" s="23">
        <v>50437</v>
      </c>
      <c r="H31" s="23">
        <v>51738</v>
      </c>
      <c r="I31" s="23">
        <v>49500</v>
      </c>
      <c r="J31" s="23">
        <v>46242</v>
      </c>
      <c r="K31" s="23">
        <v>43326</v>
      </c>
      <c r="L31" s="23">
        <v>40029</v>
      </c>
      <c r="M31" s="23">
        <v>36260</v>
      </c>
      <c r="N31" s="23">
        <v>33080</v>
      </c>
      <c r="O31" s="23">
        <f t="shared" si="5"/>
        <v>29847</v>
      </c>
      <c r="P31" s="23">
        <f t="shared" si="5"/>
        <v>26154</v>
      </c>
      <c r="Q31" s="23">
        <f t="shared" si="5"/>
        <v>24165</v>
      </c>
      <c r="R31" s="23">
        <f t="shared" si="5"/>
        <v>21826</v>
      </c>
      <c r="S31" s="23">
        <v>17770</v>
      </c>
      <c r="T31" s="23">
        <v>16759</v>
      </c>
      <c r="U31" s="23">
        <f t="shared" si="6"/>
        <v>15082</v>
      </c>
      <c r="W31" s="23">
        <v>15202</v>
      </c>
      <c r="X31" s="23">
        <v>12054</v>
      </c>
      <c r="Y31" s="23">
        <v>9688</v>
      </c>
      <c r="Z31" s="21">
        <f>[12]recto!$D$57</f>
        <v>8010</v>
      </c>
      <c r="AA31" s="21">
        <v>6776</v>
      </c>
      <c r="AB31" s="21">
        <f t="shared" si="7"/>
        <v>5631</v>
      </c>
      <c r="AC31" s="21">
        <f t="shared" si="7"/>
        <v>4267</v>
      </c>
      <c r="AD31" s="31"/>
      <c r="AE31" s="154">
        <f t="shared" si="1"/>
        <v>-0.20707801605051968</v>
      </c>
      <c r="AF31" s="154">
        <f t="shared" si="2"/>
        <v>-0.19628339140534268</v>
      </c>
      <c r="AG31" s="154">
        <f t="shared" si="2"/>
        <v>-0.17320396366639146</v>
      </c>
      <c r="AH31" s="154">
        <f t="shared" si="2"/>
        <v>-0.15405742821473156</v>
      </c>
      <c r="AI31" s="154">
        <f t="shared" si="2"/>
        <v>-0.16897874852420303</v>
      </c>
      <c r="AJ31" s="154">
        <f t="shared" si="2"/>
        <v>-0.24223050967856508</v>
      </c>
    </row>
    <row r="32" spans="2:36" s="12" customFormat="1" ht="19.899999999999999" customHeight="1" x14ac:dyDescent="0.25">
      <c r="B32" s="274"/>
      <c r="C32" s="28" t="s">
        <v>77</v>
      </c>
      <c r="D32" s="44"/>
      <c r="E32" s="30">
        <f>E29+E30+2*E31</f>
        <v>335366</v>
      </c>
      <c r="F32" s="30">
        <f t="shared" ref="F32:O32" si="8">F29+F30+2*F31</f>
        <v>351812</v>
      </c>
      <c r="G32" s="30">
        <f t="shared" si="8"/>
        <v>370365</v>
      </c>
      <c r="H32" s="30">
        <f t="shared" si="8"/>
        <v>373167</v>
      </c>
      <c r="I32" s="30">
        <f t="shared" si="8"/>
        <v>356431</v>
      </c>
      <c r="J32" s="30">
        <f t="shared" si="8"/>
        <v>336616</v>
      </c>
      <c r="K32" s="30">
        <f t="shared" si="8"/>
        <v>320999</v>
      </c>
      <c r="L32" s="30">
        <f t="shared" si="8"/>
        <v>303601</v>
      </c>
      <c r="M32" s="30">
        <f t="shared" si="8"/>
        <v>282601</v>
      </c>
      <c r="N32" s="30">
        <f t="shared" si="8"/>
        <v>264381</v>
      </c>
      <c r="O32" s="30">
        <f t="shared" si="8"/>
        <v>246242</v>
      </c>
      <c r="P32" s="30">
        <f>P29+P30+2*P31</f>
        <v>224217</v>
      </c>
      <c r="Q32" s="30">
        <f>Q29+Q30+2*Q31</f>
        <v>208900</v>
      </c>
      <c r="R32" s="30">
        <f>R29+R30+2*R31</f>
        <v>192864</v>
      </c>
      <c r="S32" s="30">
        <v>164976</v>
      </c>
      <c r="T32" s="30">
        <v>160381</v>
      </c>
      <c r="U32" s="30">
        <f>U29+U30+2*U31</f>
        <v>149965</v>
      </c>
      <c r="W32" s="30">
        <v>151428</v>
      </c>
      <c r="X32" s="30">
        <v>127709</v>
      </c>
      <c r="Y32" s="30">
        <v>110882</v>
      </c>
      <c r="Z32" s="30">
        <f>[12]recto!$D$58</f>
        <v>97007</v>
      </c>
      <c r="AA32" s="30">
        <v>85743</v>
      </c>
      <c r="AB32" s="30">
        <f>[5]recto!$D$60</f>
        <v>75226</v>
      </c>
      <c r="AC32" s="30">
        <f>[18]recto!$D$60</f>
        <v>64476</v>
      </c>
      <c r="AD32" s="31"/>
      <c r="AE32" s="150">
        <f t="shared" si="1"/>
        <v>-0.15663549673772359</v>
      </c>
      <c r="AF32" s="150">
        <f t="shared" si="2"/>
        <v>-0.13176048673155372</v>
      </c>
      <c r="AG32" s="150">
        <f t="shared" si="2"/>
        <v>-0.12513302429609852</v>
      </c>
      <c r="AH32" s="150">
        <f t="shared" si="2"/>
        <v>-0.11611533188326617</v>
      </c>
      <c r="AI32" s="150">
        <f t="shared" si="2"/>
        <v>-0.12265724315687576</v>
      </c>
      <c r="AJ32" s="150">
        <f t="shared" si="2"/>
        <v>-0.14290271980432301</v>
      </c>
    </row>
    <row r="33" spans="2:36" ht="1.5" customHeight="1" thickBot="1" x14ac:dyDescent="0.25">
      <c r="B33" s="275"/>
      <c r="C33" s="46"/>
      <c r="D33" s="46"/>
      <c r="E33" s="46"/>
      <c r="F33" s="46"/>
      <c r="G33" s="46"/>
      <c r="H33" s="46"/>
      <c r="I33" s="46"/>
      <c r="J33" s="46"/>
      <c r="K33" s="46"/>
      <c r="L33" s="46"/>
      <c r="M33" s="46"/>
      <c r="N33" s="46"/>
      <c r="O33" s="46"/>
      <c r="P33" s="46"/>
      <c r="Q33" s="46"/>
      <c r="R33" s="46"/>
      <c r="S33" s="46"/>
      <c r="T33" s="46"/>
      <c r="U33" s="46"/>
      <c r="W33" s="46"/>
      <c r="X33" s="46"/>
      <c r="Y33" s="46"/>
      <c r="Z33" s="46"/>
      <c r="AA33" s="46"/>
      <c r="AB33" s="46"/>
      <c r="AC33" s="46"/>
      <c r="AE33" s="200"/>
      <c r="AF33" s="200"/>
      <c r="AG33" s="200"/>
      <c r="AH33" s="200"/>
      <c r="AI33" s="200"/>
      <c r="AJ33" s="200"/>
    </row>
    <row r="34" spans="2:36" s="156" customFormat="1" ht="12.75" thickTop="1" x14ac:dyDescent="0.2">
      <c r="B34" s="155" t="s">
        <v>85</v>
      </c>
      <c r="AE34" s="201"/>
      <c r="AF34" s="201"/>
      <c r="AG34" s="201"/>
      <c r="AH34" s="201"/>
      <c r="AI34" s="201"/>
      <c r="AJ34" s="201"/>
    </row>
    <row r="35" spans="2:36" s="156" customFormat="1" ht="12" x14ac:dyDescent="0.2">
      <c r="B35" s="155" t="s">
        <v>117</v>
      </c>
    </row>
    <row r="36" spans="2:36" s="156" customFormat="1" ht="12" x14ac:dyDescent="0.2">
      <c r="B36" s="155" t="s">
        <v>107</v>
      </c>
    </row>
    <row r="37" spans="2:36" s="156" customFormat="1" ht="12" x14ac:dyDescent="0.2">
      <c r="B37" s="155" t="s">
        <v>108</v>
      </c>
      <c r="AB37" s="217"/>
      <c r="AC37" s="217"/>
    </row>
    <row r="38" spans="2:36" x14ac:dyDescent="0.2">
      <c r="AB38" s="218"/>
      <c r="AC38" s="218"/>
    </row>
    <row r="39" spans="2:36" ht="15" thickBot="1" x14ac:dyDescent="0.25">
      <c r="C39" s="49" t="s">
        <v>34</v>
      </c>
      <c r="D39" s="54"/>
      <c r="E39" s="54"/>
      <c r="F39" s="54"/>
      <c r="G39" s="54"/>
      <c r="H39" s="54"/>
      <c r="I39" s="54"/>
      <c r="J39" s="54"/>
      <c r="K39" s="54"/>
      <c r="L39" s="54"/>
      <c r="M39" s="54"/>
    </row>
    <row r="40" spans="2:36" ht="21.95" customHeight="1" x14ac:dyDescent="0.2">
      <c r="C40" s="318" t="s">
        <v>78</v>
      </c>
      <c r="D40" s="319"/>
      <c r="E40" s="292" t="s">
        <v>94</v>
      </c>
      <c r="F40" s="344"/>
      <c r="G40" s="344"/>
      <c r="H40" s="344"/>
      <c r="I40" s="344"/>
      <c r="J40" s="344"/>
      <c r="K40" s="344"/>
      <c r="L40" s="344"/>
      <c r="M40" s="345"/>
    </row>
    <row r="41" spans="2:36" ht="21.95" customHeight="1" thickBot="1" x14ac:dyDescent="0.25">
      <c r="C41" s="346" t="s">
        <v>36</v>
      </c>
      <c r="D41" s="347"/>
      <c r="E41" s="295" t="s">
        <v>134</v>
      </c>
      <c r="F41" s="296"/>
      <c r="G41" s="296"/>
      <c r="H41" s="296"/>
      <c r="I41" s="296"/>
      <c r="J41" s="296"/>
      <c r="K41" s="296"/>
      <c r="L41" s="296"/>
      <c r="M41" s="297"/>
    </row>
    <row r="42" spans="2:36" ht="21.95" customHeight="1" x14ac:dyDescent="0.2">
      <c r="C42" s="318" t="s">
        <v>79</v>
      </c>
      <c r="D42" s="319"/>
      <c r="E42" s="292" t="s">
        <v>80</v>
      </c>
      <c r="F42" s="344"/>
      <c r="G42" s="344"/>
      <c r="H42" s="344"/>
      <c r="I42" s="344"/>
      <c r="J42" s="344"/>
      <c r="K42" s="344"/>
      <c r="L42" s="344"/>
      <c r="M42" s="345"/>
    </row>
    <row r="43" spans="2:36" ht="21.95" customHeight="1" thickBot="1" x14ac:dyDescent="0.25">
      <c r="C43" s="346" t="s">
        <v>36</v>
      </c>
      <c r="D43" s="347"/>
      <c r="E43" s="295" t="s">
        <v>135</v>
      </c>
      <c r="F43" s="296"/>
      <c r="G43" s="296"/>
      <c r="H43" s="296"/>
      <c r="I43" s="296"/>
      <c r="J43" s="296"/>
      <c r="K43" s="296"/>
      <c r="L43" s="296"/>
      <c r="M43" s="297"/>
    </row>
    <row r="44" spans="2:36" ht="21.95" customHeight="1" x14ac:dyDescent="0.2">
      <c r="C44" s="318" t="s">
        <v>81</v>
      </c>
      <c r="D44" s="319"/>
      <c r="E44" s="292" t="s">
        <v>83</v>
      </c>
      <c r="F44" s="344"/>
      <c r="G44" s="344"/>
      <c r="H44" s="344"/>
      <c r="I44" s="344"/>
      <c r="J44" s="344"/>
      <c r="K44" s="344"/>
      <c r="L44" s="344"/>
      <c r="M44" s="345"/>
    </row>
    <row r="45" spans="2:36" ht="21.95" customHeight="1" thickBot="1" x14ac:dyDescent="0.25">
      <c r="C45" s="346" t="s">
        <v>36</v>
      </c>
      <c r="D45" s="347"/>
      <c r="E45" s="295" t="s">
        <v>136</v>
      </c>
      <c r="F45" s="296"/>
      <c r="G45" s="296"/>
      <c r="H45" s="296"/>
      <c r="I45" s="296"/>
      <c r="J45" s="296"/>
      <c r="K45" s="296"/>
      <c r="L45" s="296"/>
      <c r="M45" s="297"/>
    </row>
    <row r="46" spans="2:36" ht="21.95" customHeight="1" x14ac:dyDescent="0.2">
      <c r="C46" s="318" t="s">
        <v>82</v>
      </c>
      <c r="D46" s="319"/>
      <c r="E46" s="292" t="s">
        <v>95</v>
      </c>
      <c r="F46" s="344"/>
      <c r="G46" s="344"/>
      <c r="H46" s="344"/>
      <c r="I46" s="344"/>
      <c r="J46" s="344"/>
      <c r="K46" s="344"/>
      <c r="L46" s="344"/>
      <c r="M46" s="345"/>
    </row>
    <row r="47" spans="2:36" ht="21.95" customHeight="1" thickBot="1" x14ac:dyDescent="0.25">
      <c r="C47" s="346" t="s">
        <v>36</v>
      </c>
      <c r="D47" s="347"/>
      <c r="E47" s="295" t="s">
        <v>137</v>
      </c>
      <c r="F47" s="296"/>
      <c r="G47" s="296"/>
      <c r="H47" s="296"/>
      <c r="I47" s="296"/>
      <c r="J47" s="296"/>
      <c r="K47" s="296"/>
      <c r="L47" s="296"/>
      <c r="M47" s="297"/>
    </row>
    <row r="48" spans="2:36" ht="22.5" customHeight="1" x14ac:dyDescent="0.2">
      <c r="C48" s="318" t="s">
        <v>69</v>
      </c>
      <c r="D48" s="319"/>
      <c r="E48" s="292" t="s">
        <v>91</v>
      </c>
      <c r="F48" s="344"/>
      <c r="G48" s="344"/>
      <c r="H48" s="344"/>
      <c r="I48" s="344"/>
      <c r="J48" s="344"/>
      <c r="K48" s="344"/>
      <c r="L48" s="344"/>
      <c r="M48" s="345"/>
    </row>
    <row r="49" spans="3:13" ht="21" customHeight="1" thickBot="1" x14ac:dyDescent="0.25">
      <c r="C49" s="346" t="s">
        <v>36</v>
      </c>
      <c r="D49" s="347"/>
      <c r="E49" s="351" t="s">
        <v>138</v>
      </c>
      <c r="F49" s="352"/>
      <c r="G49" s="352"/>
      <c r="H49" s="352"/>
      <c r="I49" s="352"/>
      <c r="J49" s="352"/>
      <c r="K49" s="352"/>
      <c r="L49" s="352"/>
      <c r="M49" s="352"/>
    </row>
  </sheetData>
  <mergeCells count="29">
    <mergeCell ref="C48:D48"/>
    <mergeCell ref="E48:M48"/>
    <mergeCell ref="C40:D40"/>
    <mergeCell ref="E40:M40"/>
    <mergeCell ref="C41:D41"/>
    <mergeCell ref="E41:M41"/>
    <mergeCell ref="C42:D42"/>
    <mergeCell ref="E42:M42"/>
    <mergeCell ref="W17:X17"/>
    <mergeCell ref="E43:M43"/>
    <mergeCell ref="W9:X9"/>
    <mergeCell ref="W25:X25"/>
    <mergeCell ref="W6:AC6"/>
    <mergeCell ref="AE6:AJ6"/>
    <mergeCell ref="C49:D49"/>
    <mergeCell ref="E49:M49"/>
    <mergeCell ref="C47:D47"/>
    <mergeCell ref="E47:M47"/>
    <mergeCell ref="C45:D45"/>
    <mergeCell ref="C46:D46"/>
    <mergeCell ref="E46:M46"/>
    <mergeCell ref="E45:M45"/>
    <mergeCell ref="B9:B16"/>
    <mergeCell ref="B17:B24"/>
    <mergeCell ref="B25:B33"/>
    <mergeCell ref="E6:U6"/>
    <mergeCell ref="C44:D44"/>
    <mergeCell ref="E44:M44"/>
    <mergeCell ref="C43:D43"/>
  </mergeCells>
  <phoneticPr fontId="30" type="noConversion"/>
  <hyperlinks>
    <hyperlink ref="E41" r:id="rId1" location="/expose?file_leaf_ref=ancienne_prestation_l814_2_condition_attribution_ex.aspx" xr:uid="{00000000-0004-0000-0800-000000000000}"/>
    <hyperlink ref="E43" r:id="rId2" location="/expose?file_leaf_ref=majoration_enfant_majoration_enfant_ex.aspx" xr:uid="{00000000-0004-0000-0800-000001000000}"/>
    <hyperlink ref="E45" r:id="rId3" location="/expose?file_leaf_ref=reglement_europeen_mfe_mfe_ex.aspx" xr:uid="{00000000-0004-0000-0800-000002000000}"/>
    <hyperlink ref="E47" r:id="rId4" location="/expose?file_leaf_ref=mtp_mtp_ex.aspx" xr:uid="{00000000-0004-0000-0800-000003000000}"/>
    <hyperlink ref="E49" r:id="rId5" location="/expose?file_leaf_ref=ancienne_prestation_mc_montant_ex.aspx" xr:uid="{00000000-0004-0000-0800-000004000000}"/>
  </hyperlinks>
  <pageMargins left="0.7" right="0.7" top="0.75" bottom="0.75" header="0.3" footer="0.3"/>
  <pageSetup paperSize="9" orientation="portrait" verticalDpi="0" r:id="rId6"/>
  <drawing r:id="rId7"/>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Descriptif</vt:lpstr>
      <vt:lpstr>Retraités en paiement</vt:lpstr>
      <vt:lpstr>Âges moyens</vt:lpstr>
      <vt:lpstr>Montants globaux des pensions</vt:lpstr>
      <vt:lpstr>Montants droit direct</vt:lpstr>
      <vt:lpstr>Bénéficiaires d'un droit dérivé</vt:lpstr>
      <vt:lpstr>Montants droit dérivé</vt:lpstr>
      <vt:lpstr>Pensions portées au minimum</vt:lpstr>
      <vt:lpstr>Compléments de pension</vt:lpstr>
      <vt:lpstr>Minimum Vieillesse</vt:lpstr>
      <vt:lpstr>'Retraités en paiement'!Impression_des_titres</vt:lpstr>
      <vt:lpstr>'Retraités en paiement'!Zone_d_impression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cp:lastPrinted>2021-02-12T09:16:15Z</cp:lastPrinted>
  <dcterms:created xsi:type="dcterms:W3CDTF">2021-02-12T09:16:10Z</dcterms:created>
  <dcterms:modified xsi:type="dcterms:W3CDTF">2026-02-03T09:05:45Z</dcterms:modified>
</cp:coreProperties>
</file>